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hili\Downloads\"/>
    </mc:Choice>
  </mc:AlternateContent>
  <xr:revisionPtr revIDLastSave="0" documentId="13_ncr:1_{79168A92-C5A3-4C63-806A-A99C90DEE5AD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Contexto del Proceso" sheetId="10" state="hidden" r:id="rId1"/>
    <sheet name="Probabilidad" sheetId="7" r:id="rId2"/>
    <sheet name="Impacto Procesos" sheetId="8" r:id="rId3"/>
    <sheet name="Tablas de validación" sheetId="9" state="hidden" r:id="rId4"/>
    <sheet name="Hoja2" sheetId="2" state="hidden" r:id="rId5"/>
    <sheet name="Identificación de Riesgos" sheetId="4" r:id="rId6"/>
    <sheet name="Controles" sheetId="5" r:id="rId7"/>
    <sheet name="Residual" sheetId="16" state="hidden" r:id="rId8"/>
    <sheet name="KRI" sheetId="15" r:id="rId9"/>
    <sheet name="Matriz Consolidada incluir" sheetId="14" r:id="rId10"/>
    <sheet name="Gestión_Integral_Riesgo" sheetId="1" r:id="rId11"/>
    <sheet name="Riesgos_Corrupcion" sheetId="3" state="hidden" r:id="rId12"/>
  </sheets>
  <externalReferences>
    <externalReference r:id="rId13"/>
    <externalReference r:id="rId14"/>
  </externalReferences>
  <definedNames>
    <definedName name="calif" localSheetId="9">'[1]2. Mapa de riesgos '!$A$43:$B$67</definedName>
    <definedName name="calif">'[2]2. Mapa de riesgos '!$A$43:$B$67</definedName>
    <definedName name="Ejecución_Administración_Procesos">'Tablas de validación'!$L$2:$L$10</definedName>
    <definedName name="Evento_Externo">'Tablas de validación'!$Q$2:$Q$5</definedName>
    <definedName name="Fiscal">'Tablas de validación'!$G$2:$G$5</definedName>
    <definedName name="Gestión">'Tablas de validación'!$F$2:$F$4</definedName>
    <definedName name="Impacto">'Tablas de validación'!$B$41</definedName>
    <definedName name="Infraestructura">'Tablas de validación'!$P$2:$P$5</definedName>
    <definedName name="Integridad_Pública_Corrupción">'Tablas de validación'!$I$2:$I$4</definedName>
    <definedName name="Integridad_Pública_LAFT">'Tablas de validación'!$J$2:$J$4</definedName>
    <definedName name="Probabilidad">'Tablas de validación'!$B$39:$B$40</definedName>
    <definedName name="Seguridad_Información">'Tablas de validación'!$H$2:$H$4</definedName>
    <definedName name="Talento_Humano">'Tablas de validación'!$N$2:$N$6</definedName>
    <definedName name="Tecnología">'Tablas de validación'!$O$2:$O$6</definedName>
    <definedName name="Transacción_Operación_Aplica_LAFT">'Tablas de validación'!$M$2:$M$5</definedName>
    <definedName name="trato" localSheetId="9">'[1]2. Mapa de riesgos '!$A$31:$C$34</definedName>
    <definedName name="trato">'[2]2. Mapa de riesgos '!$A$31:$C$34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K9" i="1"/>
  <c r="J19" i="4" l="1"/>
  <c r="D15" i="1"/>
  <c r="E9" i="1"/>
  <c r="A9" i="14"/>
  <c r="A10" i="14"/>
  <c r="A11" i="14"/>
  <c r="A12" i="14"/>
  <c r="A13" i="14"/>
  <c r="A14" i="14"/>
  <c r="A15" i="14"/>
  <c r="A16" i="14"/>
  <c r="A17" i="14"/>
  <c r="A18" i="14"/>
  <c r="A19" i="14"/>
  <c r="A8" i="14"/>
  <c r="A15" i="16"/>
  <c r="A4" i="16"/>
  <c r="A5" i="16"/>
  <c r="A6" i="16"/>
  <c r="A7" i="16"/>
  <c r="A8" i="16"/>
  <c r="A9" i="16"/>
  <c r="A10" i="16"/>
  <c r="A11" i="16"/>
  <c r="A12" i="16"/>
  <c r="A13" i="16"/>
  <c r="A14" i="16"/>
  <c r="B35" i="1"/>
  <c r="G18" i="16"/>
  <c r="G29" i="16" s="1"/>
  <c r="M18" i="16"/>
  <c r="S18" i="16"/>
  <c r="A32" i="16"/>
  <c r="B32" i="16" s="1"/>
  <c r="G32" i="16"/>
  <c r="G43" i="16" s="1"/>
  <c r="M32" i="16"/>
  <c r="S32" i="16"/>
  <c r="A46" i="16"/>
  <c r="G46" i="16"/>
  <c r="G57" i="16" s="1"/>
  <c r="M46" i="16"/>
  <c r="M57" i="16" s="1"/>
  <c r="S46" i="16"/>
  <c r="U46" i="16" s="1"/>
  <c r="A18" i="16"/>
  <c r="P9" i="4"/>
  <c r="Q9" i="4"/>
  <c r="S9" i="4"/>
  <c r="T9" i="4"/>
  <c r="P10" i="4"/>
  <c r="Q10" i="4"/>
  <c r="S10" i="4"/>
  <c r="T10" i="4"/>
  <c r="P11" i="4"/>
  <c r="Q11" i="4"/>
  <c r="S11" i="4"/>
  <c r="T11" i="4"/>
  <c r="V11" i="4"/>
  <c r="P12" i="4"/>
  <c r="Q12" i="4"/>
  <c r="S12" i="4"/>
  <c r="T12" i="4"/>
  <c r="P13" i="4"/>
  <c r="Q13" i="4"/>
  <c r="S13" i="4"/>
  <c r="T13" i="4"/>
  <c r="U13" i="4" s="1"/>
  <c r="V13" i="4"/>
  <c r="P14" i="4"/>
  <c r="Q14" i="4"/>
  <c r="S14" i="4"/>
  <c r="T14" i="4"/>
  <c r="P15" i="4"/>
  <c r="Q15" i="4"/>
  <c r="S15" i="4"/>
  <c r="T15" i="4"/>
  <c r="P16" i="4"/>
  <c r="Q16" i="4"/>
  <c r="U16" i="4" s="1"/>
  <c r="S16" i="4"/>
  <c r="T16" i="4"/>
  <c r="P17" i="4"/>
  <c r="Q17" i="4"/>
  <c r="S17" i="4"/>
  <c r="T17" i="4"/>
  <c r="P18" i="4"/>
  <c r="Q18" i="4"/>
  <c r="S18" i="4"/>
  <c r="T18" i="4"/>
  <c r="P19" i="4"/>
  <c r="Q19" i="4"/>
  <c r="S19" i="4"/>
  <c r="T19" i="4"/>
  <c r="U19" i="4" s="1"/>
  <c r="V19" i="4"/>
  <c r="Q8" i="4"/>
  <c r="P8" i="4"/>
  <c r="T8" i="4"/>
  <c r="S8" i="4"/>
  <c r="F9" i="14" l="1"/>
  <c r="E9" i="14"/>
  <c r="D9" i="14"/>
  <c r="F10" i="14"/>
  <c r="E10" i="14"/>
  <c r="D10" i="14"/>
  <c r="F11" i="14"/>
  <c r="E11" i="14"/>
  <c r="D11" i="14"/>
  <c r="F12" i="14"/>
  <c r="E12" i="14"/>
  <c r="D12" i="14"/>
  <c r="F13" i="14"/>
  <c r="E13" i="14"/>
  <c r="D13" i="14"/>
  <c r="F14" i="14"/>
  <c r="E14" i="14"/>
  <c r="D14" i="14"/>
  <c r="E15" i="14"/>
  <c r="D15" i="14"/>
  <c r="F16" i="14"/>
  <c r="E16" i="14"/>
  <c r="D16" i="14"/>
  <c r="F17" i="14"/>
  <c r="E17" i="14"/>
  <c r="D17" i="14"/>
  <c r="F18" i="14"/>
  <c r="D18" i="14"/>
  <c r="E18" i="14"/>
  <c r="E19" i="14"/>
  <c r="D19" i="14"/>
  <c r="E8" i="14"/>
  <c r="B16" i="14"/>
  <c r="V12" i="4"/>
  <c r="U10" i="4"/>
  <c r="V16" i="4"/>
  <c r="F19" i="14"/>
  <c r="U11" i="4"/>
  <c r="U15" i="4"/>
  <c r="C19" i="14"/>
  <c r="B19" i="14"/>
  <c r="V10" i="4"/>
  <c r="J54" i="1"/>
  <c r="T46" i="16"/>
  <c r="F15" i="14"/>
  <c r="H18" i="16"/>
  <c r="S57" i="16"/>
  <c r="U18" i="4"/>
  <c r="B46" i="16"/>
  <c r="A57" i="16"/>
  <c r="T32" i="16"/>
  <c r="U32" i="16"/>
  <c r="S43" i="16"/>
  <c r="N32" i="16"/>
  <c r="O32" i="16"/>
  <c r="M43" i="16"/>
  <c r="H32" i="16"/>
  <c r="I32" i="16"/>
  <c r="A43" i="16"/>
  <c r="T18" i="16"/>
  <c r="U18" i="16"/>
  <c r="S29" i="16"/>
  <c r="M29" i="16"/>
  <c r="N18" i="16"/>
  <c r="A29" i="16"/>
  <c r="V15" i="4"/>
  <c r="V18" i="4"/>
  <c r="O46" i="16" s="1"/>
  <c r="U12" i="4"/>
  <c r="U17" i="4"/>
  <c r="U14" i="4"/>
  <c r="U9" i="4"/>
  <c r="V17" i="4"/>
  <c r="I46" i="16" s="1"/>
  <c r="V9" i="4"/>
  <c r="V14" i="4"/>
  <c r="U8" i="4"/>
  <c r="G25" i="1" s="1"/>
  <c r="C46" i="16" l="1"/>
  <c r="C32" i="16"/>
  <c r="I18" i="16"/>
  <c r="O18" i="16"/>
  <c r="J10" i="4" l="1"/>
  <c r="J9" i="4"/>
  <c r="J11" i="4"/>
  <c r="J12" i="4"/>
  <c r="J13" i="4"/>
  <c r="J14" i="4"/>
  <c r="J15" i="4"/>
  <c r="J16" i="4"/>
  <c r="J17" i="4"/>
  <c r="J18" i="4"/>
  <c r="J8" i="4"/>
  <c r="C8" i="5" s="1"/>
  <c r="D8" i="14" l="1"/>
  <c r="D12" i="1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C16" i="14"/>
  <c r="B17" i="14"/>
  <c r="C17" i="14"/>
  <c r="B18" i="14"/>
  <c r="C18" i="14"/>
  <c r="C8" i="14"/>
  <c r="B8" i="14"/>
  <c r="A6" i="15"/>
  <c r="A7" i="15"/>
  <c r="A8" i="15"/>
  <c r="A9" i="15"/>
  <c r="A10" i="15"/>
  <c r="A11" i="15"/>
  <c r="A12" i="15"/>
  <c r="A13" i="15"/>
  <c r="A14" i="15"/>
  <c r="A15" i="15"/>
  <c r="A16" i="15"/>
  <c r="A5" i="15"/>
  <c r="N18" i="4"/>
  <c r="X18" i="4"/>
  <c r="N19" i="4"/>
  <c r="W19" i="4" s="1"/>
  <c r="N8" i="4"/>
  <c r="B18" i="16" s="1"/>
  <c r="D18" i="1" l="1"/>
  <c r="W18" i="4"/>
  <c r="Y18" i="4" s="1"/>
  <c r="N46" i="16"/>
  <c r="V13" i="14"/>
  <c r="U16" i="14"/>
  <c r="U17" i="14"/>
  <c r="T8" i="14"/>
  <c r="U15" i="14"/>
  <c r="U8" i="14"/>
  <c r="U13" i="14"/>
  <c r="T17" i="14"/>
  <c r="V14" i="14"/>
  <c r="U18" i="14"/>
  <c r="T13" i="14"/>
  <c r="V16" i="14"/>
  <c r="T16" i="14"/>
  <c r="T15" i="14"/>
  <c r="V19" i="14"/>
  <c r="U14" i="14"/>
  <c r="V18" i="14"/>
  <c r="T18" i="14"/>
  <c r="V12" i="14"/>
  <c r="V15" i="14"/>
  <c r="V8" i="14"/>
  <c r="U19" i="14"/>
  <c r="T19" i="14"/>
  <c r="V17" i="14"/>
  <c r="U12" i="14"/>
  <c r="T12" i="14"/>
  <c r="V11" i="14"/>
  <c r="U11" i="14"/>
  <c r="T11" i="14"/>
  <c r="V10" i="14"/>
  <c r="U10" i="14"/>
  <c r="T10" i="14"/>
  <c r="V9" i="14"/>
  <c r="U9" i="14"/>
  <c r="T9" i="14"/>
  <c r="T14" i="14"/>
  <c r="I9" i="14"/>
  <c r="I8" i="14"/>
  <c r="I19" i="14"/>
  <c r="I18" i="14"/>
  <c r="I17" i="14"/>
  <c r="I15" i="14"/>
  <c r="I14" i="14"/>
  <c r="I13" i="14"/>
  <c r="I11" i="14"/>
  <c r="I16" i="14"/>
  <c r="I10" i="14"/>
  <c r="I12" i="14"/>
  <c r="X19" i="4"/>
  <c r="Y19" i="4" l="1"/>
  <c r="N9" i="4" l="1"/>
  <c r="V8" i="4" l="1"/>
  <c r="X12" i="4"/>
  <c r="X11" i="4"/>
  <c r="X16" i="4"/>
  <c r="X15" i="4"/>
  <c r="X10" i="4"/>
  <c r="X17" i="4"/>
  <c r="X13" i="4"/>
  <c r="X14" i="4"/>
  <c r="X9" i="4"/>
  <c r="X8" i="4" l="1"/>
  <c r="G24" i="1" s="1"/>
  <c r="O24" i="1"/>
  <c r="C18" i="16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9" i="5"/>
  <c r="B10" i="5"/>
  <c r="B36" i="1"/>
  <c r="B37" i="1"/>
  <c r="B38" i="1"/>
  <c r="B39" i="1"/>
  <c r="B40" i="1"/>
  <c r="B41" i="1"/>
  <c r="B42" i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0" i="5"/>
  <c r="W9" i="4"/>
  <c r="N10" i="4"/>
  <c r="W10" i="4" s="1"/>
  <c r="Y10" i="4" s="1"/>
  <c r="N11" i="4"/>
  <c r="W11" i="4" s="1"/>
  <c r="Y11" i="4" s="1"/>
  <c r="N12" i="4"/>
  <c r="W12" i="4" s="1"/>
  <c r="Y12" i="4" s="1"/>
  <c r="N13" i="4"/>
  <c r="W13" i="4" s="1"/>
  <c r="Y13" i="4" s="1"/>
  <c r="N14" i="4"/>
  <c r="W14" i="4" s="1"/>
  <c r="Y14" i="4" s="1"/>
  <c r="N15" i="4"/>
  <c r="W15" i="4" s="1"/>
  <c r="Y15" i="4" s="1"/>
  <c r="N16" i="4"/>
  <c r="W16" i="4" s="1"/>
  <c r="Y16" i="4" s="1"/>
  <c r="N17" i="4"/>
  <c r="W8" i="4"/>
  <c r="Y8" i="4" l="1"/>
  <c r="F8" i="14" s="1"/>
  <c r="G22" i="1"/>
  <c r="O22" i="1" s="1"/>
  <c r="P22" i="1" s="1"/>
  <c r="W17" i="4"/>
  <c r="Y17" i="4" s="1"/>
  <c r="H46" i="16"/>
  <c r="Y9" i="4"/>
  <c r="P24" i="1"/>
  <c r="Q25" i="1" l="1"/>
  <c r="D27" i="1" s="1"/>
  <c r="B8" i="5" l="1"/>
  <c r="K19" i="16" l="1"/>
  <c r="D20" i="16"/>
  <c r="E19" i="16"/>
  <c r="J19" i="16"/>
  <c r="D21" i="16"/>
  <c r="E21" i="16"/>
  <c r="E20" i="16"/>
  <c r="D19" i="16"/>
  <c r="E33" i="16"/>
  <c r="W56" i="16"/>
  <c r="V48" i="16"/>
  <c r="J35" i="16"/>
  <c r="Q54" i="16"/>
  <c r="K37" i="16"/>
  <c r="D54" i="16"/>
  <c r="K41" i="16"/>
  <c r="P39" i="16"/>
  <c r="Q40" i="16"/>
  <c r="D40" i="16"/>
  <c r="P27" i="16"/>
  <c r="P21" i="16"/>
  <c r="K20" i="16"/>
  <c r="D24" i="16"/>
  <c r="Q37" i="16"/>
  <c r="K23" i="16"/>
  <c r="V23" i="16"/>
  <c r="D28" i="16"/>
  <c r="E28" i="16"/>
  <c r="W34" i="16"/>
  <c r="W25" i="16"/>
  <c r="Q42" i="16"/>
  <c r="E25" i="16"/>
  <c r="E52" i="16"/>
  <c r="E27" i="16"/>
  <c r="D55" i="16"/>
  <c r="K27" i="16"/>
  <c r="J34" i="16"/>
  <c r="D49" i="16"/>
  <c r="P34" i="16"/>
  <c r="W55" i="16"/>
  <c r="Q48" i="16"/>
  <c r="J47" i="16"/>
  <c r="J41" i="16"/>
  <c r="K52" i="16"/>
  <c r="E51" i="16"/>
  <c r="Q38" i="16"/>
  <c r="D36" i="16"/>
  <c r="P28" i="16"/>
  <c r="W28" i="16"/>
  <c r="K28" i="16"/>
  <c r="D25" i="16"/>
  <c r="D38" i="16"/>
  <c r="K22" i="16"/>
  <c r="V39" i="16"/>
  <c r="Q22" i="16"/>
  <c r="P55" i="16"/>
  <c r="W27" i="16"/>
  <c r="D37" i="16"/>
  <c r="E49" i="16"/>
  <c r="P41" i="16"/>
  <c r="P22" i="16"/>
  <c r="D47" i="16"/>
  <c r="W48" i="16"/>
  <c r="W35" i="16"/>
  <c r="K34" i="16"/>
  <c r="Q56" i="16"/>
  <c r="K40" i="16"/>
  <c r="J42" i="16"/>
  <c r="K54" i="16"/>
  <c r="E54" i="16"/>
  <c r="P38" i="16"/>
  <c r="E37" i="16"/>
  <c r="V24" i="16"/>
  <c r="W22" i="16"/>
  <c r="E22" i="16"/>
  <c r="K21" i="16"/>
  <c r="D51" i="16"/>
  <c r="V28" i="16"/>
  <c r="J24" i="16"/>
  <c r="K53" i="16"/>
  <c r="E38" i="16"/>
  <c r="J40" i="16"/>
  <c r="D34" i="16"/>
  <c r="K55" i="16"/>
  <c r="D33" i="16"/>
  <c r="E48" i="16"/>
  <c r="W33" i="16"/>
  <c r="V33" i="16"/>
  <c r="Q50" i="16"/>
  <c r="J51" i="16"/>
  <c r="K42" i="16"/>
  <c r="K36" i="16"/>
  <c r="P23" i="16"/>
  <c r="Q28" i="16"/>
  <c r="J23" i="16"/>
  <c r="Q21" i="16"/>
  <c r="K56" i="16"/>
  <c r="E56" i="16"/>
  <c r="K24" i="16"/>
  <c r="P42" i="16"/>
  <c r="Q34" i="16"/>
  <c r="E35" i="16"/>
  <c r="P19" i="16"/>
  <c r="P35" i="16"/>
  <c r="W51" i="16"/>
  <c r="W53" i="16"/>
  <c r="P53" i="16"/>
  <c r="Q41" i="16"/>
  <c r="J53" i="16"/>
  <c r="J55" i="16"/>
  <c r="W41" i="16"/>
  <c r="E39" i="16"/>
  <c r="V54" i="16"/>
  <c r="W42" i="16"/>
  <c r="D22" i="16"/>
  <c r="V27" i="16"/>
  <c r="P56" i="16"/>
  <c r="V38" i="16"/>
  <c r="V47" i="16"/>
  <c r="W21" i="16"/>
  <c r="Q19" i="16"/>
  <c r="J33" i="16"/>
  <c r="P54" i="16"/>
  <c r="J52" i="16"/>
  <c r="K48" i="16"/>
  <c r="J37" i="16"/>
  <c r="D50" i="16"/>
  <c r="W38" i="16"/>
  <c r="E36" i="16"/>
  <c r="V35" i="16"/>
  <c r="Q36" i="16"/>
  <c r="J50" i="16"/>
  <c r="K50" i="16"/>
  <c r="E26" i="16"/>
  <c r="P26" i="16"/>
  <c r="E47" i="16"/>
  <c r="Q35" i="16"/>
  <c r="V50" i="16"/>
  <c r="V34" i="16"/>
  <c r="V51" i="16"/>
  <c r="P49" i="16"/>
  <c r="J54" i="16"/>
  <c r="K38" i="16"/>
  <c r="Q39" i="16"/>
  <c r="V41" i="16"/>
  <c r="V37" i="16"/>
  <c r="E40" i="16"/>
  <c r="V26" i="16"/>
  <c r="Q25" i="16"/>
  <c r="J25" i="16"/>
  <c r="J26" i="16"/>
  <c r="K26" i="16"/>
  <c r="V53" i="16"/>
  <c r="P24" i="16"/>
  <c r="P25" i="16"/>
  <c r="G35" i="1"/>
  <c r="N35" i="1" s="1"/>
  <c r="W19" i="16"/>
  <c r="P20" i="16"/>
  <c r="V49" i="16"/>
  <c r="W54" i="16"/>
  <c r="Q47" i="16"/>
  <c r="J36" i="16"/>
  <c r="J49" i="16"/>
  <c r="E50" i="16"/>
  <c r="W37" i="16"/>
  <c r="D56" i="16"/>
  <c r="D35" i="16"/>
  <c r="Q27" i="16"/>
  <c r="W23" i="16"/>
  <c r="K25" i="16"/>
  <c r="V22" i="16"/>
  <c r="D48" i="16"/>
  <c r="D52" i="16"/>
  <c r="W26" i="16"/>
  <c r="K51" i="16"/>
  <c r="D23" i="16"/>
  <c r="Q33" i="16"/>
  <c r="W50" i="16"/>
  <c r="K35" i="16"/>
  <c r="V52" i="16"/>
  <c r="Q49" i="16"/>
  <c r="J48" i="16"/>
  <c r="K47" i="16"/>
  <c r="P37" i="16"/>
  <c r="W36" i="16"/>
  <c r="W40" i="16"/>
  <c r="E42" i="16"/>
  <c r="W24" i="16"/>
  <c r="Q24" i="16"/>
  <c r="J21" i="16"/>
  <c r="J27" i="16"/>
  <c r="V55" i="16"/>
  <c r="K49" i="16"/>
  <c r="P40" i="16"/>
  <c r="E24" i="16"/>
  <c r="Q51" i="16"/>
  <c r="D27" i="16"/>
  <c r="D39" i="16"/>
  <c r="W20" i="16"/>
  <c r="V20" i="16"/>
  <c r="W47" i="16"/>
  <c r="V19" i="16"/>
  <c r="V21" i="16"/>
  <c r="P47" i="16"/>
  <c r="J56" i="16"/>
  <c r="J39" i="16"/>
  <c r="V40" i="16"/>
  <c r="W39" i="16"/>
  <c r="V36" i="16"/>
  <c r="E41" i="16"/>
  <c r="Q26" i="16"/>
  <c r="Q23" i="16"/>
  <c r="J22" i="16"/>
  <c r="D26" i="16"/>
  <c r="V56" i="16"/>
  <c r="P51" i="16"/>
  <c r="V42" i="16"/>
  <c r="D41" i="16"/>
  <c r="P48" i="16"/>
  <c r="E53" i="16"/>
  <c r="P33" i="16"/>
  <c r="W49" i="16"/>
  <c r="K33" i="16"/>
  <c r="W52" i="16"/>
  <c r="Q55" i="16"/>
  <c r="P50" i="16"/>
  <c r="J38" i="16"/>
  <c r="K39" i="16"/>
  <c r="P36" i="16"/>
  <c r="E55" i="16"/>
  <c r="D42" i="16"/>
  <c r="V25" i="16"/>
  <c r="J20" i="16"/>
  <c r="E23" i="16"/>
  <c r="E34" i="16"/>
  <c r="P52" i="16"/>
  <c r="D53" i="16"/>
  <c r="J28" i="16"/>
  <c r="Q20" i="16"/>
  <c r="Q52" i="16"/>
  <c r="Q53" i="16"/>
  <c r="D36" i="1"/>
  <c r="G40" i="1"/>
  <c r="D40" i="1"/>
  <c r="H38" i="1"/>
  <c r="G36" i="1"/>
  <c r="N36" i="1" s="1"/>
  <c r="K39" i="1"/>
  <c r="K36" i="1"/>
  <c r="K41" i="1"/>
  <c r="J42" i="1"/>
  <c r="L42" i="1"/>
  <c r="H41" i="1"/>
  <c r="J40" i="1"/>
  <c r="D38" i="1"/>
  <c r="J35" i="1"/>
  <c r="K37" i="1"/>
  <c r="H40" i="1"/>
  <c r="J37" i="1"/>
  <c r="L39" i="1"/>
  <c r="I42" i="1"/>
  <c r="D39" i="1"/>
  <c r="I41" i="1"/>
  <c r="L41" i="1"/>
  <c r="J38" i="1"/>
  <c r="G37" i="1"/>
  <c r="I36" i="1"/>
  <c r="K40" i="1"/>
  <c r="H35" i="1"/>
  <c r="O35" i="1" s="1"/>
  <c r="K38" i="1"/>
  <c r="D42" i="1"/>
  <c r="G42" i="1"/>
  <c r="J39" i="1"/>
  <c r="I35" i="1"/>
  <c r="G38" i="1"/>
  <c r="J41" i="1"/>
  <c r="L40" i="1"/>
  <c r="K35" i="1"/>
  <c r="D37" i="1"/>
  <c r="G41" i="1"/>
  <c r="H37" i="1"/>
  <c r="L38" i="1"/>
  <c r="J36" i="1"/>
  <c r="H39" i="1"/>
  <c r="L36" i="1"/>
  <c r="D41" i="1"/>
  <c r="I38" i="1"/>
  <c r="L37" i="1"/>
  <c r="H36" i="1"/>
  <c r="O36" i="1" s="1"/>
  <c r="G39" i="1"/>
  <c r="I39" i="1"/>
  <c r="I37" i="1"/>
  <c r="I40" i="1"/>
  <c r="L35" i="1"/>
  <c r="H42" i="1"/>
  <c r="K42" i="1"/>
  <c r="C47" i="16" l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B47" i="16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N47" i="16"/>
  <c r="N48" i="16" s="1"/>
  <c r="N49" i="16" s="1"/>
  <c r="N50" i="16" s="1"/>
  <c r="N51" i="16" s="1"/>
  <c r="N52" i="16" s="1"/>
  <c r="N53" i="16" s="1"/>
  <c r="N54" i="16" s="1"/>
  <c r="N55" i="16" s="1"/>
  <c r="N56" i="16" s="1"/>
  <c r="N57" i="16" s="1"/>
  <c r="O47" i="16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T19" i="16"/>
  <c r="T20" i="16" s="1"/>
  <c r="T21" i="16" s="1"/>
  <c r="T22" i="16" s="1"/>
  <c r="T23" i="16" s="1"/>
  <c r="T24" i="16" s="1"/>
  <c r="T25" i="16" s="1"/>
  <c r="T26" i="16" s="1"/>
  <c r="T27" i="16" s="1"/>
  <c r="T28" i="16" s="1"/>
  <c r="T29" i="16" s="1"/>
  <c r="U19" i="16"/>
  <c r="U20" i="16" s="1"/>
  <c r="U21" i="16" s="1"/>
  <c r="U22" i="16" s="1"/>
  <c r="U23" i="16" s="1"/>
  <c r="U24" i="16" s="1"/>
  <c r="U25" i="16" s="1"/>
  <c r="U26" i="16" s="1"/>
  <c r="U27" i="16" s="1"/>
  <c r="U28" i="16" s="1"/>
  <c r="U29" i="16" s="1"/>
  <c r="I33" i="16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H33" i="16"/>
  <c r="H34" i="16" s="1"/>
  <c r="H35" i="16" s="1"/>
  <c r="H36" i="16" s="1"/>
  <c r="H37" i="16" s="1"/>
  <c r="H38" i="16" s="1"/>
  <c r="H39" i="16" s="1"/>
  <c r="H40" i="16" s="1"/>
  <c r="H41" i="16" s="1"/>
  <c r="H42" i="16" s="1"/>
  <c r="H43" i="16" s="1"/>
  <c r="I47" i="16"/>
  <c r="I48" i="16" s="1"/>
  <c r="I49" i="16" s="1"/>
  <c r="I50" i="16" s="1"/>
  <c r="I51" i="16" s="1"/>
  <c r="I52" i="16" s="1"/>
  <c r="I53" i="16" s="1"/>
  <c r="I54" i="16" s="1"/>
  <c r="I55" i="16" s="1"/>
  <c r="I56" i="16" s="1"/>
  <c r="I57" i="16" s="1"/>
  <c r="H47" i="16"/>
  <c r="H48" i="16" s="1"/>
  <c r="H49" i="16" s="1"/>
  <c r="H50" i="16" s="1"/>
  <c r="H51" i="16" s="1"/>
  <c r="H52" i="16" s="1"/>
  <c r="H53" i="16" s="1"/>
  <c r="H54" i="16" s="1"/>
  <c r="H55" i="16" s="1"/>
  <c r="H56" i="16" s="1"/>
  <c r="H57" i="16" s="1"/>
  <c r="U33" i="16"/>
  <c r="U34" i="16" s="1"/>
  <c r="U35" i="16" s="1"/>
  <c r="U36" i="16" s="1"/>
  <c r="U37" i="16" s="1"/>
  <c r="U38" i="16" s="1"/>
  <c r="U39" i="16" s="1"/>
  <c r="U40" i="16" s="1"/>
  <c r="U41" i="16" s="1"/>
  <c r="U42" i="16" s="1"/>
  <c r="U43" i="16" s="1"/>
  <c r="T33" i="16"/>
  <c r="T34" i="16" s="1"/>
  <c r="T35" i="16" s="1"/>
  <c r="T36" i="16" s="1"/>
  <c r="T37" i="16" s="1"/>
  <c r="T38" i="16" s="1"/>
  <c r="T39" i="16" s="1"/>
  <c r="T40" i="16" s="1"/>
  <c r="T41" i="16" s="1"/>
  <c r="T42" i="16" s="1"/>
  <c r="T43" i="16" s="1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T47" i="16"/>
  <c r="T48" i="16" s="1"/>
  <c r="T49" i="16" s="1"/>
  <c r="T50" i="16" s="1"/>
  <c r="T51" i="16" s="1"/>
  <c r="T52" i="16" s="1"/>
  <c r="T53" i="16" s="1"/>
  <c r="T54" i="16" s="1"/>
  <c r="T55" i="16" s="1"/>
  <c r="T56" i="16" s="1"/>
  <c r="T57" i="16" s="1"/>
  <c r="U47" i="16"/>
  <c r="U48" i="16" s="1"/>
  <c r="U49" i="16" s="1"/>
  <c r="U50" i="16" s="1"/>
  <c r="U51" i="16" s="1"/>
  <c r="U52" i="16" s="1"/>
  <c r="U53" i="16" s="1"/>
  <c r="U54" i="16" s="1"/>
  <c r="U55" i="16" s="1"/>
  <c r="U56" i="16" s="1"/>
  <c r="U57" i="16" s="1"/>
  <c r="N19" i="16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O19" i="16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3" i="16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N33" i="16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C33" i="16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H19" i="16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I19" i="16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H8" i="5"/>
  <c r="D35" i="1" s="1"/>
  <c r="H9" i="5"/>
  <c r="V43" i="16" l="1"/>
  <c r="B11" i="16" s="1"/>
  <c r="J43" i="16"/>
  <c r="B9" i="16" s="1"/>
  <c r="D43" i="16"/>
  <c r="B8" i="16" s="1"/>
  <c r="P43" i="16"/>
  <c r="B10" i="16" s="1"/>
  <c r="P29" i="16"/>
  <c r="B6" i="16" s="1"/>
  <c r="D57" i="16"/>
  <c r="B12" i="16" s="1"/>
  <c r="D29" i="16"/>
  <c r="B4" i="16" s="1"/>
  <c r="G8" i="14" s="1"/>
  <c r="J29" i="16"/>
  <c r="B5" i="16" s="1"/>
  <c r="G9" i="14" s="1"/>
  <c r="J57" i="16"/>
  <c r="B13" i="16" s="1"/>
  <c r="V29" i="16"/>
  <c r="B7" i="16" s="1"/>
  <c r="P57" i="16"/>
  <c r="B14" i="16" s="1"/>
  <c r="V57" i="16"/>
  <c r="B15" i="16" s="1"/>
  <c r="X54" i="3"/>
  <c r="X55" i="3"/>
  <c r="X56" i="3"/>
  <c r="X57" i="3"/>
  <c r="X58" i="3"/>
  <c r="X53" i="3"/>
  <c r="G19" i="14" l="1"/>
  <c r="G18" i="14"/>
  <c r="G11" i="14"/>
  <c r="G17" i="14"/>
  <c r="G12" i="14"/>
  <c r="G15" i="14"/>
  <c r="G16" i="14"/>
  <c r="G10" i="14"/>
  <c r="G14" i="14"/>
  <c r="G13" i="14"/>
  <c r="O47" i="3"/>
  <c r="R54" i="3" l="1"/>
  <c r="S54" i="3"/>
  <c r="T54" i="3"/>
  <c r="U54" i="3"/>
  <c r="V54" i="3"/>
  <c r="W54" i="3"/>
  <c r="R55" i="3"/>
  <c r="S55" i="3"/>
  <c r="T55" i="3"/>
  <c r="U55" i="3"/>
  <c r="V55" i="3"/>
  <c r="W55" i="3"/>
  <c r="R56" i="3"/>
  <c r="S56" i="3"/>
  <c r="T56" i="3"/>
  <c r="U56" i="3"/>
  <c r="V56" i="3"/>
  <c r="W56" i="3"/>
  <c r="R57" i="3"/>
  <c r="S57" i="3"/>
  <c r="T57" i="3"/>
  <c r="U57" i="3"/>
  <c r="V57" i="3"/>
  <c r="W57" i="3"/>
  <c r="R58" i="3"/>
  <c r="S58" i="3"/>
  <c r="T58" i="3"/>
  <c r="U58" i="3"/>
  <c r="V58" i="3"/>
  <c r="W58" i="3"/>
  <c r="W53" i="3"/>
  <c r="V53" i="3"/>
  <c r="U53" i="3"/>
  <c r="T53" i="3"/>
  <c r="S53" i="3"/>
  <c r="R53" i="3"/>
  <c r="R23" i="3"/>
  <c r="B48" i="3"/>
  <c r="Q48" i="3" s="1"/>
  <c r="M53" i="3" l="1"/>
  <c r="N53" i="3" s="1"/>
  <c r="M54" i="3"/>
  <c r="N54" i="3" s="1"/>
  <c r="Q23" i="3"/>
  <c r="M56" i="3"/>
  <c r="N56" i="3" s="1"/>
  <c r="M55" i="3"/>
  <c r="Q55" i="3" s="1"/>
  <c r="P55" i="3" s="1"/>
  <c r="M57" i="3"/>
  <c r="Q57" i="3" s="1"/>
  <c r="P57" i="3" s="1"/>
  <c r="M58" i="3"/>
  <c r="Q58" i="3" s="1"/>
  <c r="P58" i="3" s="1"/>
  <c r="N55" i="3" l="1"/>
  <c r="Q56" i="3"/>
  <c r="P56" i="3" s="1"/>
  <c r="N57" i="3"/>
  <c r="Q54" i="3"/>
  <c r="P54" i="3" s="1"/>
  <c r="Q53" i="3"/>
  <c r="P53" i="3" s="1"/>
  <c r="F83" i="3"/>
  <c r="N58" i="3"/>
  <c r="Q52" i="3" l="1"/>
  <c r="G60" i="3" s="1"/>
  <c r="R52" i="3" s="1"/>
  <c r="R50" i="3" s="1"/>
  <c r="S52" i="3" s="1"/>
  <c r="J92" i="3" l="1"/>
  <c r="I90" i="3"/>
  <c r="H89" i="3"/>
  <c r="H88" i="3"/>
  <c r="H91" i="3"/>
  <c r="I88" i="3"/>
  <c r="J88" i="3"/>
  <c r="J91" i="3"/>
  <c r="J90" i="3"/>
  <c r="J89" i="3"/>
  <c r="I89" i="3"/>
  <c r="I92" i="3"/>
  <c r="I91" i="3"/>
  <c r="H90" i="3"/>
  <c r="H92" i="3"/>
  <c r="L83" i="3"/>
  <c r="O37" i="1" l="1"/>
  <c r="O38" i="1"/>
  <c r="O39" i="1"/>
  <c r="O40" i="1"/>
  <c r="O41" i="1"/>
  <c r="O42" i="1"/>
  <c r="M35" i="1"/>
  <c r="P35" i="1" s="1"/>
  <c r="M36" i="1"/>
  <c r="N37" i="1"/>
  <c r="N38" i="1"/>
  <c r="N39" i="1"/>
  <c r="N40" i="1"/>
  <c r="N41" i="1"/>
  <c r="N42" i="1"/>
  <c r="M42" i="1" l="1"/>
  <c r="M41" i="1"/>
  <c r="M40" i="1"/>
  <c r="M39" i="1"/>
  <c r="P36" i="1"/>
  <c r="M37" i="1"/>
  <c r="M38" i="1"/>
  <c r="P37" i="1" l="1"/>
  <c r="P38" i="1" s="1"/>
  <c r="P39" i="1" s="1"/>
  <c r="P40" i="1" s="1"/>
  <c r="P41" i="1" s="1"/>
  <c r="P42" i="1" s="1"/>
  <c r="Q35" i="1"/>
  <c r="Q36" i="1" s="1"/>
  <c r="Q37" i="1" s="1"/>
  <c r="Q38" i="1" s="1"/>
  <c r="Q39" i="1" s="1"/>
  <c r="Q40" i="1" s="1"/>
  <c r="Q41" i="1" s="1"/>
  <c r="P33" i="1" l="1"/>
  <c r="G46" i="1" s="1"/>
  <c r="Q42" i="1"/>
  <c r="Q33" i="1" s="1"/>
  <c r="G48" i="1" s="1"/>
  <c r="P34" i="1" l="1"/>
  <c r="I61" i="1" l="1"/>
  <c r="D50" i="1"/>
  <c r="I63" i="1"/>
  <c r="G61" i="1"/>
  <c r="H65" i="1"/>
  <c r="J64" i="1"/>
  <c r="F64" i="1"/>
  <c r="J61" i="1"/>
  <c r="F61" i="1"/>
  <c r="G62" i="1"/>
  <c r="I62" i="1"/>
  <c r="H63" i="1"/>
  <c r="H61" i="1"/>
  <c r="I65" i="1"/>
  <c r="J62" i="1"/>
  <c r="F63" i="1"/>
  <c r="J65" i="1"/>
  <c r="G63" i="1"/>
  <c r="H62" i="1"/>
  <c r="G64" i="1"/>
  <c r="F62" i="1"/>
  <c r="H64" i="1"/>
  <c r="G65" i="1"/>
  <c r="F65" i="1"/>
  <c r="J63" i="1"/>
  <c r="I64" i="1"/>
</calcChain>
</file>

<file path=xl/sharedStrings.xml><?xml version="1.0" encoding="utf-8"?>
<sst xmlns="http://schemas.openxmlformats.org/spreadsheetml/2006/main" count="679" uniqueCount="400">
  <si>
    <t>CONTEXTO INSTITUCIONAL
Direccionamiento Estratégico</t>
  </si>
  <si>
    <r>
      <t xml:space="preserve">Factores de Contexto Externo, Interno y de Proceso </t>
    </r>
    <r>
      <rPr>
        <b/>
        <u/>
        <sz val="11"/>
        <color theme="4" tint="0.39997558519241921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Nombre del proceso: </t>
    </r>
    <r>
      <rPr>
        <b/>
        <sz val="11"/>
        <color rgb="FF3E6CC0"/>
        <rFont val="Calibri"/>
        <family val="2"/>
      </rPr>
      <t xml:space="preserve"> Gestión del Talento Humano</t>
    </r>
  </si>
  <si>
    <t>CONTEXTO</t>
  </si>
  <si>
    <t>FACTORES EXTERNOS</t>
  </si>
  <si>
    <t>LEGALES:  Hace referencia al cumplimiento de las leyes y lo relacionado con la misionalidad
de la Agencia.</t>
  </si>
  <si>
    <t xml:space="preserve">TECNOLÓGICOS: Es uno de los factores que más cambia a través del tiempo, dado lo rápido que avanza la tecnología y pueden incidir en la Agencia. </t>
  </si>
  <si>
    <t>ECONÓMICOS: Son aquellas cuestiones económicas que pueden incidir en la Agencia, como la inflación, tasas de interés, el PIB, entre otros.</t>
  </si>
  <si>
    <t>FACTORES INTERNOS</t>
  </si>
  <si>
    <t>NORMATIVOS Y DE PROCEDIMIENTOS: Entre ellos se encuentran la normatividad propia de la Agencia y los procesos y procedimientos aplicables.</t>
  </si>
  <si>
    <t>FINANCIEROS Y FÍSICOS: Se puede referir a la adquisición, seguimiento o distribución de los recursos técnicos, tecnológicos, económicos y humanos</t>
  </si>
  <si>
    <t>TALENTO HUMANO: Se refiere al recurso humano, el manejo del personal, el tipo de liderazgo y autoridad que determina las políticas internas.</t>
  </si>
  <si>
    <t>FACTORES PROCESO</t>
  </si>
  <si>
    <t>DISEÑO DEL PROCESO: Claridad en la descripción del alcance y objetivo del proceso.</t>
  </si>
  <si>
    <t>INTERACCIÓN CON OTROS PROCESOS: Relación precisa con otros procesos en cuanto a insumos, proveedores, productos, usuarios o clientes.</t>
  </si>
  <si>
    <t>PROCEDIMIENTOS ASOCIADOS: Pertinencia en los procedimientos que desarrollan los procesos.</t>
  </si>
  <si>
    <t>COMUNICACIÓN ENTRE LOS PROCESOS: Efectividad en los flujos de información determinados en la interacción de los procesos.</t>
  </si>
  <si>
    <t>CRITERIOS PARA CALIFICAR LA PROBABILIDAD
Número de veces que se pasa por el punto de riesgo en el periodo de 1 año.</t>
  </si>
  <si>
    <t>PROBABILIDAD</t>
  </si>
  <si>
    <t>NIVEL</t>
  </si>
  <si>
    <t>FRECUENCIA DE LA ACTIVIDAD</t>
  </si>
  <si>
    <t>Muy Baja</t>
  </si>
  <si>
    <t>Actividad que conlleva el riesgo se ejecuta como máximos 2 veces por año</t>
  </si>
  <si>
    <t>Baja</t>
  </si>
  <si>
    <t>Actividad que conlleva el riesgo se ejecuta de 3 a 24 veces por año</t>
  </si>
  <si>
    <t>Media</t>
  </si>
  <si>
    <t>Actividad que conlleva el riesgo se ejecuta de 24 a 500 veces por año</t>
  </si>
  <si>
    <t>Alta</t>
  </si>
  <si>
    <t>Actividad que conlleva el riesgo se ejecuta mínimo 500 veces al año y máximo 5.000 por año</t>
  </si>
  <si>
    <t>Muy Alta</t>
  </si>
  <si>
    <t>Actividad que conlleva el riesgo se ejecuta mas de 5.000 veces al año.</t>
  </si>
  <si>
    <t>CRITERIOS PARA CALIFICAR EL IMPACTO</t>
  </si>
  <si>
    <t>Afectación Económica</t>
  </si>
  <si>
    <t>Afectación Reputacional</t>
  </si>
  <si>
    <t>Leve</t>
  </si>
  <si>
    <t>Afectación menor a 10 SMLMV</t>
  </si>
  <si>
    <t>El riesgo afecta la imagen de algun área de la organización</t>
  </si>
  <si>
    <t>Menor</t>
  </si>
  <si>
    <t>Entre 10 y 50 SMLMV</t>
  </si>
  <si>
    <t>El riesgo afecta la imagen de la entidad internamente, de conocimiento general nivel interno, de Junta Directiva y Accionistas y/o Proveedores</t>
  </si>
  <si>
    <t>Moderado</t>
  </si>
  <si>
    <t>Entre 50 y 100 SMLMV</t>
  </si>
  <si>
    <t>El riesgo afecta la imagen de la entidad con algunos usuarios de relevancia frente al logro de los objetivos</t>
  </si>
  <si>
    <t>Mayor</t>
  </si>
  <si>
    <t>Entre 100 y 500 SMLMV</t>
  </si>
  <si>
    <t>El riesgo afecta la imagen de la entidad con efecto publicitario sostenido a nivel de Sector Administrativo, Nivel Departamental o Municipal</t>
  </si>
  <si>
    <t>Catastrófico</t>
  </si>
  <si>
    <t>Mayor a 500 SMLMV</t>
  </si>
  <si>
    <t xml:space="preserve">El riesgo afecta la imagen de la entidad a Nivel Nacional, con Efecto publicitario sostenido a Nivel País </t>
  </si>
  <si>
    <t>El riesgo afecta la imagen de la entidad internamente, de conocimiento general nivel interno, de Junta Directiva y Acciconistas y/o Proveedores</t>
  </si>
  <si>
    <t xml:space="preserve">El riesgo afecta la imagen de la entidad a Nivel Nacional, con Efecto piblicitario sostenido a Nivel País </t>
  </si>
  <si>
    <t>Contexto Externo</t>
  </si>
  <si>
    <t>Contexto Interno</t>
  </si>
  <si>
    <t>Proceso</t>
  </si>
  <si>
    <t>Gestión</t>
  </si>
  <si>
    <t>Fiscal</t>
  </si>
  <si>
    <t>Seguridad_Información</t>
  </si>
  <si>
    <t>Integridad_Pública_Corrupción</t>
  </si>
  <si>
    <t>Integridad_Pública_LA_FT_FP</t>
  </si>
  <si>
    <t>Ejecución_administración_de_procesos</t>
  </si>
  <si>
    <t>Transacción_u_Operación_aplica_para_LA_FT_FP</t>
  </si>
  <si>
    <t>Talento_Humano</t>
  </si>
  <si>
    <t>Tecnología</t>
  </si>
  <si>
    <t>Infraestructura</t>
  </si>
  <si>
    <t>Evento_externo</t>
  </si>
  <si>
    <t>POLÍTICOS: Son aquellas acciones y medidas tomadas por el gobierno, que pueden incidir en
la operación y cumplimiento de metas de la Entidad.</t>
  </si>
  <si>
    <t>Posibilidad de afectación económica</t>
  </si>
  <si>
    <t>Posibilidad de efecto dañoso sobre el recurso público</t>
  </si>
  <si>
    <t>Posibilidad de perdida de integridad</t>
  </si>
  <si>
    <t>Falta de aplicación de los procedimientos</t>
  </si>
  <si>
    <t>Contrapartes de la entidad (naturales o jurídicas)</t>
  </si>
  <si>
    <t>Fraude interno</t>
  </si>
  <si>
    <t>Daño de equipos</t>
  </si>
  <si>
    <t>Derrumbes</t>
  </si>
  <si>
    <t>Fraude Externo</t>
  </si>
  <si>
    <t>SOCIOCULTURALES: Son todos aquellos elementos que componen la sociedad como son:
cultura, religión, creencias entre otros y que pueden incidir en la Agencia</t>
  </si>
  <si>
    <t>Posibilidad de afectación reputacional</t>
  </si>
  <si>
    <t>Posibilidad de efecto dañoso sobre bienes de uso público</t>
  </si>
  <si>
    <t>Posibilidad de perdida de confidencialidad</t>
  </si>
  <si>
    <t>Falta segregación de funciones</t>
  </si>
  <si>
    <t xml:space="preserve">Productos (bienes o servicios) que oferta/requiere </t>
  </si>
  <si>
    <t>Soborno</t>
  </si>
  <si>
    <t>Caída de sistemas de información y aplicaciones</t>
  </si>
  <si>
    <t>Incendios</t>
  </si>
  <si>
    <t>Suplantación de identidad</t>
  </si>
  <si>
    <t>TRANSVERSALIDAD: Procesos que determinan lineamientos necesarios para el desarrollo de todos los procesos de la entidad.</t>
  </si>
  <si>
    <t>Posibilidad de afectación económica y reputacional</t>
  </si>
  <si>
    <t>Posibilidad de efecto dañoso sobre bienes de uso fiscal</t>
  </si>
  <si>
    <t>Posibilidad de perdida de disponibilidad</t>
  </si>
  <si>
    <t>Errores de grabación, autorización</t>
  </si>
  <si>
    <t>Canales utilizados para la operación</t>
  </si>
  <si>
    <t xml:space="preserve">Gestión inadecuada de conflicto de Intereses </t>
  </si>
  <si>
    <t>Caída de redes</t>
  </si>
  <si>
    <t>Inundaciones</t>
  </si>
  <si>
    <t>Asalto a la oficina</t>
  </si>
  <si>
    <t>SISTEMAS TECNOLÓGICOS: Se refiere al entorno operativo, herramientas, canales de información
y Bases de datos.</t>
  </si>
  <si>
    <t>Posibilidad de efecto dañoso sobre el interes patrimonial</t>
  </si>
  <si>
    <t>Errores en cálculos para pagos internos y externos</t>
  </si>
  <si>
    <t>Jurisdicciones (nacional o territorial)</t>
  </si>
  <si>
    <t>Corrupción</t>
  </si>
  <si>
    <t>Errores en hardware o software</t>
  </si>
  <si>
    <t>Daños a activos fijos</t>
  </si>
  <si>
    <t>Atentados, vandalismo, orden público</t>
  </si>
  <si>
    <t>MEDIOAMBIENTALES: Todo lo relacionado directa o indirectamente con el medioambiente y
que pueden inferir en el funcionamiento de la entidad, como el cambio climático entre otros</t>
  </si>
  <si>
    <t>PLANEACIÓN Y ESTRATEGIA: Se refiere a la misión, visión, objetivos de la entidad, su funcionamiento, las relaciones con otras entidades y los grupos de interés.</t>
  </si>
  <si>
    <t>LÍDERES DEL PROCESO: Grado de autoridad y responsabilidad de los funcionarios frente al proceso.</t>
  </si>
  <si>
    <t>Falta de supervisión o interventoría</t>
  </si>
  <si>
    <t>Hurto Activos</t>
  </si>
  <si>
    <t>Errores en programas</t>
  </si>
  <si>
    <t>COMUNICACIÓN INTERNA: Canales de comunicación entre procesos</t>
  </si>
  <si>
    <t xml:space="preserve">Alta rotación o insuficiencia de personal </t>
  </si>
  <si>
    <t>Acciones contrarias a las leyes o acuerdos de empleo, salud o seguridad en el trabajo</t>
  </si>
  <si>
    <t>IDENTIFICACIÓN</t>
  </si>
  <si>
    <t>Acciones contrarias a las leyes o acuerdos contractuales</t>
  </si>
  <si>
    <t>IMPACTO INHERENTE</t>
  </si>
  <si>
    <t>Falta de capacitación y otros temas relacionados con el personal</t>
  </si>
  <si>
    <t>TIPO DE PROCESO</t>
  </si>
  <si>
    <t>NOMBRE</t>
  </si>
  <si>
    <t>TIPO DE RIEGOS</t>
  </si>
  <si>
    <t>PROBABILIDAD INHERENTE</t>
  </si>
  <si>
    <t>PROCESOS</t>
  </si>
  <si>
    <t>CORRUPCIÓN</t>
  </si>
  <si>
    <t>ESTRATÉGICO</t>
  </si>
  <si>
    <t>Direccionamiento Estratégico</t>
  </si>
  <si>
    <t>MODERADO</t>
  </si>
  <si>
    <t>MISIONAL</t>
  </si>
  <si>
    <t>Gestión de Comunicaciones</t>
  </si>
  <si>
    <t>MAYOR</t>
  </si>
  <si>
    <t>APOYO</t>
  </si>
  <si>
    <t>Gestión de Conocimiento e Innovación</t>
  </si>
  <si>
    <t>CATASTRÓFICO</t>
  </si>
  <si>
    <t>EVALUACIÓN</t>
  </si>
  <si>
    <t>Gestión de Tecnologías de la Información y Comunicaciones</t>
  </si>
  <si>
    <t>Gestión de Educación Posmedia</t>
  </si>
  <si>
    <t>Gestión de Ciencia, Tecnología e Innovación</t>
  </si>
  <si>
    <t>Gestión de Servicio a la Ciudadanía</t>
  </si>
  <si>
    <t>Gestión Administrativa</t>
  </si>
  <si>
    <t>Gestión del Talento Humano</t>
  </si>
  <si>
    <t>Gestión Contractual</t>
  </si>
  <si>
    <t>Gestión Jurídica</t>
  </si>
  <si>
    <t>Gestión Documental</t>
  </si>
  <si>
    <t>Gestión Financiera</t>
  </si>
  <si>
    <t>Gestión de Control Interno</t>
  </si>
  <si>
    <t>Gestión de Control Disciplinario</t>
  </si>
  <si>
    <t>Clasificación del Riesgo</t>
  </si>
  <si>
    <t>Facrores de Riesgo</t>
  </si>
  <si>
    <t>Ejecución y administración de procesos</t>
  </si>
  <si>
    <t>Procesos</t>
  </si>
  <si>
    <t>Fraude externo</t>
  </si>
  <si>
    <t>Evento externo</t>
  </si>
  <si>
    <t>Talento humano</t>
  </si>
  <si>
    <t>Fallas tecnológicas</t>
  </si>
  <si>
    <t>Relaciones laborales</t>
  </si>
  <si>
    <t>Usuarios, productos y prácticas</t>
  </si>
  <si>
    <t>Daños a activos fijos/ eventos externos</t>
  </si>
  <si>
    <t xml:space="preserve">Atributos de Eficiencia </t>
  </si>
  <si>
    <t>Atributos Formalización</t>
  </si>
  <si>
    <t>Tipo de Control</t>
  </si>
  <si>
    <t>Peso % Tipo de Control</t>
  </si>
  <si>
    <t>Ejecución</t>
  </si>
  <si>
    <t>Peso % Ejecución</t>
  </si>
  <si>
    <t>Documentación</t>
  </si>
  <si>
    <t>Peso %</t>
  </si>
  <si>
    <t>Evidencia</t>
  </si>
  <si>
    <t>Frecuencia</t>
  </si>
  <si>
    <t>Probabilidad</t>
  </si>
  <si>
    <t>Preventivo</t>
  </si>
  <si>
    <t>Automático</t>
  </si>
  <si>
    <t>Procedimientos (Documentos MOP)</t>
  </si>
  <si>
    <t>Con registro manual</t>
  </si>
  <si>
    <t>Siempre que se Ejecuta la Actividad</t>
  </si>
  <si>
    <t xml:space="preserve">Interna </t>
  </si>
  <si>
    <t>Detectivo</t>
  </si>
  <si>
    <t>Manual</t>
  </si>
  <si>
    <t>Sistemas de Información</t>
  </si>
  <si>
    <t>Con registro electrónico</t>
  </si>
  <si>
    <t>Periódicamente</t>
  </si>
  <si>
    <t xml:space="preserve">Externa </t>
  </si>
  <si>
    <t>Impacto</t>
  </si>
  <si>
    <t>Correctivo</t>
  </si>
  <si>
    <t>Otros Esquemas</t>
  </si>
  <si>
    <t>Mixta</t>
  </si>
  <si>
    <t>No se tienen controles para aplicar al impacto</t>
  </si>
  <si>
    <t>NA</t>
  </si>
  <si>
    <t>No Documentado</t>
  </si>
  <si>
    <t>N/A</t>
  </si>
  <si>
    <t>Muy Baja 20%</t>
  </si>
  <si>
    <t>Probabilidad de Ocurrencia</t>
  </si>
  <si>
    <t>Descripción</t>
  </si>
  <si>
    <t>Nivel</t>
  </si>
  <si>
    <t>Baja 40%</t>
  </si>
  <si>
    <t>Casi Seguro</t>
  </si>
  <si>
    <t>Se espera que el evento ocurra en la mayoría de las circunstancias.</t>
  </si>
  <si>
    <t>Más de 1 vez al año.</t>
  </si>
  <si>
    <t>Alto</t>
  </si>
  <si>
    <t>Extremo</t>
  </si>
  <si>
    <t>Media 60%</t>
  </si>
  <si>
    <t>Probable</t>
  </si>
  <si>
    <t>Es viable que el evento ocurra en la mayoría de las circunstancias.</t>
  </si>
  <si>
    <t>Al menos 1 vez en el último año.</t>
  </si>
  <si>
    <t>Alta 80%</t>
  </si>
  <si>
    <t>Posible</t>
  </si>
  <si>
    <t>El evento podrá ocurrir en algún momento.</t>
  </si>
  <si>
    <t xml:space="preserve">Al menos 1 vez en los últimos 2 años. </t>
  </si>
  <si>
    <t>Muy Alta 100%</t>
  </si>
  <si>
    <t>Improbable</t>
  </si>
  <si>
    <t>El evento puede ocurrir en algún momento.</t>
  </si>
  <si>
    <t>Al menos 1 vez en los últimos 5 años.</t>
  </si>
  <si>
    <t>Bajo</t>
  </si>
  <si>
    <t>Rara Vez</t>
  </si>
  <si>
    <t>El evento Puede Ocurrir solo en circunstancias excepcionales (poco comunes o anormales)</t>
  </si>
  <si>
    <t>No se ha presentado en los últimos 5 años.</t>
  </si>
  <si>
    <t>Prob</t>
  </si>
  <si>
    <t>11</t>
  </si>
  <si>
    <t>Nivel de Impacto</t>
  </si>
  <si>
    <t>21</t>
  </si>
  <si>
    <t>Afectación parcial al proceso o más procesos Genera medianas consecuencias para la entidad.</t>
  </si>
  <si>
    <t>31</t>
  </si>
  <si>
    <t>Impacto negativo de la Entidad Genera altas consecuencias para la entidad.</t>
  </si>
  <si>
    <t>41</t>
  </si>
  <si>
    <t>Consecuencias desastrosas sobre el sectorGenera consecuencias desastrosas para la entidad.</t>
  </si>
  <si>
    <t>51</t>
  </si>
  <si>
    <t>12</t>
  </si>
  <si>
    <t>22</t>
  </si>
  <si>
    <t>32</t>
  </si>
  <si>
    <t>42</t>
  </si>
  <si>
    <t>52</t>
  </si>
  <si>
    <t>13</t>
  </si>
  <si>
    <t>23</t>
  </si>
  <si>
    <t>33</t>
  </si>
  <si>
    <t>43</t>
  </si>
  <si>
    <t>53</t>
  </si>
  <si>
    <t>14</t>
  </si>
  <si>
    <t>24</t>
  </si>
  <si>
    <t>34</t>
  </si>
  <si>
    <t>44</t>
  </si>
  <si>
    <t>54</t>
  </si>
  <si>
    <t>15</t>
  </si>
  <si>
    <t>25</t>
  </si>
  <si>
    <t>35</t>
  </si>
  <si>
    <t>45</t>
  </si>
  <si>
    <t>55</t>
  </si>
  <si>
    <r>
      <t xml:space="preserve">IDENTIFICACIÓN DE RIESGOS
</t>
    </r>
    <r>
      <rPr>
        <b/>
        <sz val="12"/>
        <rFont val="Arial"/>
        <family val="2"/>
      </rPr>
      <t xml:space="preserve">
Direccionamiento Estratégico</t>
    </r>
  </si>
  <si>
    <t>PROCESO</t>
  </si>
  <si>
    <t>FACTOR DEL RIESGO</t>
  </si>
  <si>
    <t>RIESGO</t>
  </si>
  <si>
    <t>CRITERIOS DE PROBABILIDAD E IMPACTO</t>
  </si>
  <si>
    <t>PROBABILIDAD ANTES DE CONTROLES</t>
  </si>
  <si>
    <t>IMPACTO ANTES DE CONTROLES</t>
  </si>
  <si>
    <t>VALORACIÓN ANTES DE CONTROLES
(Riesgo Inherente)</t>
  </si>
  <si>
    <t>CÓDIGO DE RIESGO</t>
  </si>
  <si>
    <t>NOMBRE DEL PROCESO</t>
  </si>
  <si>
    <t>FACTOR</t>
  </si>
  <si>
    <t>SELECCIONE FUENTE GENERADORA DEL EVENTO</t>
  </si>
  <si>
    <t>CLASIFICACIÓN</t>
  </si>
  <si>
    <t>IMPACTO
¿Qué?</t>
  </si>
  <si>
    <t xml:space="preserve">CAUSA INMEDIATA/CIRCUNSTANCIA INMEDIATA
¿Cómo?/ Efectos
</t>
  </si>
  <si>
    <t>CAUSA RAIZ
¿Por qué?</t>
  </si>
  <si>
    <t>DESCRIPCIÓN DEL RIESGO</t>
  </si>
  <si>
    <t>PROBABILIDAD: FRECUENCIA DE LA ACTIVIDAD</t>
  </si>
  <si>
    <t>IMPACTO: AFECTACIÓN ECONÓMICA O REPUTACIONAL</t>
  </si>
  <si>
    <r>
      <t xml:space="preserve">CONTROLES DE RIESGOS
</t>
    </r>
    <r>
      <rPr>
        <b/>
        <sz val="12"/>
        <rFont val="Arial"/>
        <family val="2"/>
      </rPr>
      <t>Direccionamiento Estratégico</t>
    </r>
  </si>
  <si>
    <t>Riesgo</t>
  </si>
  <si>
    <t>Control</t>
  </si>
  <si>
    <t>Atributos de Eficiencia</t>
  </si>
  <si>
    <t>Atributos de Formalización</t>
  </si>
  <si>
    <t>Código Riesgo</t>
  </si>
  <si>
    <t>Descripción del Riesgo</t>
  </si>
  <si>
    <t>Número</t>
  </si>
  <si>
    <t>Responsable de ejecutar el control</t>
  </si>
  <si>
    <t>Acción</t>
  </si>
  <si>
    <t>Complemento</t>
  </si>
  <si>
    <t>Tipo de control</t>
  </si>
  <si>
    <t>Implementación</t>
  </si>
  <si>
    <t>Ejecución (Fuentes de Información Internas o Externas)</t>
  </si>
  <si>
    <t>Tipo</t>
  </si>
  <si>
    <t>Calificación</t>
  </si>
  <si>
    <r>
      <rPr>
        <b/>
        <sz val="14"/>
        <color theme="1"/>
        <rFont val="Calibri"/>
        <family val="2"/>
        <scheme val="minor"/>
      </rPr>
      <t>IDENTIFICACIÓN DE INDICADORES CLAVE DE RIESGOS - KRI</t>
    </r>
    <r>
      <rPr>
        <sz val="11"/>
        <color theme="1"/>
        <rFont val="Calibri"/>
        <family val="2"/>
        <scheme val="minor"/>
      </rPr>
      <t xml:space="preserve">
Direccionamiento Estratégico</t>
    </r>
  </si>
  <si>
    <t>DESCRIPCIÓN DEL INDICADOR CLAVE DE RIESGO</t>
  </si>
  <si>
    <t>RESPONSABLE DEL INDICADOR</t>
  </si>
  <si>
    <t>Línea Base</t>
  </si>
  <si>
    <t>UMBRALES DE ALERTA</t>
  </si>
  <si>
    <t>Nombre del KRI</t>
  </si>
  <si>
    <t>Descripción del KRI</t>
  </si>
  <si>
    <t>Objetivo del KRI</t>
  </si>
  <si>
    <t>Fórmula de cálculo</t>
  </si>
  <si>
    <t xml:space="preserve">Fuentes de información </t>
  </si>
  <si>
    <t>Periodicidad de medición</t>
  </si>
  <si>
    <t>Nombre</t>
  </si>
  <si>
    <t>Cargo</t>
  </si>
  <si>
    <t>Dependencia</t>
  </si>
  <si>
    <t>Aceptable</t>
  </si>
  <si>
    <t>Riesgoso</t>
  </si>
  <si>
    <t>Critico</t>
  </si>
  <si>
    <t>MATRIZ DE RIESGOS
Direccionamiento Estratégico</t>
  </si>
  <si>
    <t>CÓDIGO:</t>
  </si>
  <si>
    <t>F1_G1_DE</t>
  </si>
  <si>
    <t>VERSIÓN:</t>
  </si>
  <si>
    <t>FECHA APROBACIÓN:</t>
  </si>
  <si>
    <t>CALIFICACIÓN DE LA INFORMACIÓN:</t>
  </si>
  <si>
    <t>Pública</t>
  </si>
  <si>
    <t>INFORMACIÓN DEL RIESGO</t>
  </si>
  <si>
    <t>ACCIONES DE TRATAMIENTO</t>
  </si>
  <si>
    <t>REPORTE POR PARTE DEL PROCESO</t>
  </si>
  <si>
    <t>SEGUIMIENTO ACCIONES DE TRATAMIENTO SUBGERENCIA DE PLANEACIÓN</t>
  </si>
  <si>
    <t>SEGUIMIENTO INDICADORES SUBGERENCIA DE PLANEACIÓN</t>
  </si>
  <si>
    <t>CÓDIGO DEL RIESGO</t>
  </si>
  <si>
    <t>DESCRIPCIÓN RIESGO</t>
  </si>
  <si>
    <t>RIESGO INHERENTE</t>
  </si>
  <si>
    <t>RIESGO RESIDUAL</t>
  </si>
  <si>
    <t>REQUIERE TRATAMIENTO</t>
  </si>
  <si>
    <t>INDICADOR</t>
  </si>
  <si>
    <t xml:space="preserve">ACCIONES </t>
  </si>
  <si>
    <t>ACTIVIDADES</t>
  </si>
  <si>
    <t>RESPONSABLE</t>
  </si>
  <si>
    <t>FECHA DE IMPLEMENTACIÓN</t>
  </si>
  <si>
    <t>FECHA DE SEGUIMIENTO</t>
  </si>
  <si>
    <t>REGISTRO O EVIDENCIA</t>
  </si>
  <si>
    <t>ESTADO</t>
  </si>
  <si>
    <t>Análisis y reporte de evidencias de Actividades del diseño e implementación del nuevo control</t>
  </si>
  <si>
    <t>Reporte de Indicadores Cualitativo</t>
  </si>
  <si>
    <t>Reporte de Indicadores Cuantitativo</t>
  </si>
  <si>
    <t>Umbrales Alerta KRI</t>
  </si>
  <si>
    <t>Revisión de evidencias de Actividades</t>
  </si>
  <si>
    <t>Estado de avance de del diseño e implemtación del control</t>
  </si>
  <si>
    <t>Revisión de Indicador</t>
  </si>
  <si>
    <t>Calificación del estado del riesgos de acuerdo con el reporte del indicador</t>
  </si>
  <si>
    <r>
      <t xml:space="preserve">GESTIÓN INTEGRAL DEL RIESGO
</t>
    </r>
    <r>
      <rPr>
        <b/>
        <sz val="12"/>
        <rFont val="Arial"/>
        <family val="2"/>
      </rPr>
      <t xml:space="preserve">
Direccionamiento Estratégico</t>
    </r>
  </si>
  <si>
    <t>IDENTIFICACIÓN DE RIESGO</t>
  </si>
  <si>
    <t>CÓDIGO RIESGO:</t>
  </si>
  <si>
    <t>TIPO DE RIESGO:</t>
  </si>
  <si>
    <t>PUNTO DE RIESGO</t>
  </si>
  <si>
    <t>INDICADOR CLAVE DE RIESGO</t>
  </si>
  <si>
    <t>CALIFICACIÓN RIEGO INHERENTE</t>
  </si>
  <si>
    <t xml:space="preserve">Impacto </t>
  </si>
  <si>
    <t>CALIFICACIÓN RIEGOS RESIDUAL</t>
  </si>
  <si>
    <t xml:space="preserve">CONTROLES </t>
  </si>
  <si>
    <t xml:space="preserve">Descripción Control </t>
  </si>
  <si>
    <t xml:space="preserve">Calificación Control </t>
  </si>
  <si>
    <t>Naturaleza</t>
  </si>
  <si>
    <t xml:space="preserve">Documentación </t>
  </si>
  <si>
    <t>NIVELES DE PROBABILIDAD E IMPACTO RESIDUAL DEL RIESGO</t>
  </si>
  <si>
    <t xml:space="preserve">Preguntar si debe te ner plan de tratamiento </t>
  </si>
  <si>
    <t xml:space="preserve"> </t>
  </si>
  <si>
    <t>¿El riesgo requiera tratamiento?</t>
  </si>
  <si>
    <t>MAPA DE CALOR</t>
  </si>
  <si>
    <t>IMPACTO</t>
  </si>
  <si>
    <t xml:space="preserve">Mayor </t>
  </si>
  <si>
    <t>PROCESO:</t>
  </si>
  <si>
    <t>DESCRIPCIÓN DEL RIESGO DE CORRUPCIÓN</t>
  </si>
  <si>
    <t>VALIDACIÓN RIESGO DE CORRUPCIÓN</t>
  </si>
  <si>
    <t>Acción y Omisión</t>
  </si>
  <si>
    <t>+</t>
  </si>
  <si>
    <t>Uso del Poder</t>
  </si>
  <si>
    <t>Desviación de la Gestión de lo Público</t>
  </si>
  <si>
    <t>Beneficio Privado</t>
  </si>
  <si>
    <t>APLICA EN:</t>
  </si>
  <si>
    <t>Dirección General</t>
  </si>
  <si>
    <t>Regional</t>
  </si>
  <si>
    <t xml:space="preserve">Centro Zonal </t>
  </si>
  <si>
    <t>CAUSAS</t>
  </si>
  <si>
    <t>CONSECUENCIAS</t>
  </si>
  <si>
    <t>ANÁLISIS DE RIESGO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</si>
  <si>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</si>
  <si>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</si>
  <si>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</si>
  <si>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</si>
  <si>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</si>
  <si>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</si>
  <si>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</si>
  <si>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</si>
  <si>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</si>
  <si>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</si>
  <si>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</si>
  <si>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</si>
  <si>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</si>
  <si>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</si>
  <si>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</si>
  <si>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</si>
  <si>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</si>
  <si>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</si>
  <si>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 xml:space="preserve">¿Generar daño ambiental? </t>
  </si>
  <si>
    <t>CONTROLES</t>
  </si>
  <si>
    <t>Descripción Control</t>
  </si>
  <si>
    <t>Responsable</t>
  </si>
  <si>
    <t>Segregación y Autoridad del Responsable</t>
  </si>
  <si>
    <t>Periodicidad</t>
  </si>
  <si>
    <t>Propósito</t>
  </si>
  <si>
    <t>¿Cómo se realiza la actividad de control?</t>
  </si>
  <si>
    <t>¿Qué pasa con las observaciones o desviaciones?</t>
  </si>
  <si>
    <t>Evidencia de la Ejecución</t>
  </si>
  <si>
    <t xml:space="preserve">Calificación Diseño Control </t>
  </si>
  <si>
    <t>Calificación Ejecución Control</t>
  </si>
  <si>
    <t>Solidez Individual Control</t>
  </si>
  <si>
    <t>SOLIDEZ CONJUNTO DE CONTROLES</t>
  </si>
  <si>
    <t>PLAN DE TRATAMIENTO</t>
  </si>
  <si>
    <t>Descripción de la Actividad</t>
  </si>
  <si>
    <t>Fecha Inicio</t>
  </si>
  <si>
    <t>Fecha Fin</t>
  </si>
  <si>
    <t>Calificación riesgo 
inherente</t>
  </si>
  <si>
    <t>Calificación riesgo Residual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</si>
</sst>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  <font>
      <b/>
      <sz val="16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theme="4" tint="0.39997558519241921"/>
      <name val="Calibri"/>
      <family val="2"/>
    </font>
    <font>
      <b/>
      <sz val="11"/>
      <color rgb="FF3E6CC0"/>
      <name val="Calibri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6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46202"/>
      <name val="Arial"/>
      <family val="2"/>
    </font>
    <font>
      <sz val="10"/>
      <color rgb="FF9D5600"/>
      <name val="Arial"/>
      <family val="2"/>
    </font>
    <font>
      <sz val="10"/>
      <color rgb="FF9C0006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BD2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F0CE"/>
        <bgColor indexed="64"/>
      </patternFill>
    </fill>
    <fill>
      <patternFill patternType="solid">
        <fgColor rgb="FFFFEC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2" fillId="0" borderId="0"/>
  </cellStyleXfs>
  <cellXfs count="434">
    <xf numFmtId="0" fontId="0" fillId="0" borderId="0" xfId="0"/>
    <xf numFmtId="9" fontId="0" fillId="0" borderId="0" xfId="1" applyFont="1"/>
    <xf numFmtId="0" fontId="8" fillId="0" borderId="5" xfId="0" applyFont="1" applyBorder="1" applyAlignment="1">
      <alignment horizontal="justify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1" applyNumberFormat="1" applyFont="1"/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13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9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" fontId="0" fillId="0" borderId="0" xfId="1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9" fontId="0" fillId="0" borderId="0" xfId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1" fontId="0" fillId="0" borderId="1" xfId="1" applyNumberFormat="1" applyFont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/>
    <xf numFmtId="2" fontId="0" fillId="0" borderId="1" xfId="0" applyNumberFormat="1" applyBorder="1"/>
    <xf numFmtId="0" fontId="29" fillId="0" borderId="0" xfId="0" applyFont="1"/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Continuous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/>
    <xf numFmtId="9" fontId="10" fillId="0" borderId="1" xfId="0" applyNumberFormat="1" applyFont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38" fillId="15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38" fillId="16" borderId="23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38" fillId="18" borderId="23" xfId="0" applyFont="1" applyFill="1" applyBorder="1" applyAlignment="1">
      <alignment horizontal="center" vertical="center"/>
    </xf>
    <xf numFmtId="0" fontId="36" fillId="12" borderId="25" xfId="0" applyFont="1" applyFill="1" applyBorder="1" applyAlignment="1">
      <alignment horizontal="center" vertical="center"/>
    </xf>
    <xf numFmtId="0" fontId="36" fillId="19" borderId="25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0" fillId="21" borderId="27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9" fontId="35" fillId="0" borderId="31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9" fontId="35" fillId="0" borderId="24" xfId="0" applyNumberFormat="1" applyFont="1" applyBorder="1" applyAlignment="1">
      <alignment horizontal="center" vertical="center"/>
    </xf>
    <xf numFmtId="9" fontId="35" fillId="0" borderId="27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23" borderId="0" xfId="0" applyFont="1" applyFill="1"/>
    <xf numFmtId="0" fontId="34" fillId="0" borderId="2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9" fontId="38" fillId="15" borderId="7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10" fillId="0" borderId="24" xfId="0" applyFont="1" applyBorder="1" applyAlignment="1">
      <alignment horizontal="justify" vertical="center" wrapText="1"/>
    </xf>
    <xf numFmtId="9" fontId="38" fillId="16" borderId="7" xfId="0" applyNumberFormat="1" applyFont="1" applyFill="1" applyBorder="1" applyAlignment="1">
      <alignment horizontal="center" vertical="center"/>
    </xf>
    <xf numFmtId="9" fontId="38" fillId="17" borderId="7" xfId="0" applyNumberFormat="1" applyFont="1" applyFill="1" applyBorder="1" applyAlignment="1">
      <alignment horizontal="center" vertical="center"/>
    </xf>
    <xf numFmtId="9" fontId="38" fillId="18" borderId="7" xfId="0" applyNumberFormat="1" applyFont="1" applyFill="1" applyBorder="1" applyAlignment="1">
      <alignment horizontal="center" vertical="center"/>
    </xf>
    <xf numFmtId="9" fontId="36" fillId="19" borderId="38" xfId="0" applyNumberFormat="1" applyFont="1" applyFill="1" applyBorder="1" applyAlignment="1">
      <alignment horizontal="center" vertical="center"/>
    </xf>
    <xf numFmtId="0" fontId="38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horizontal="justify" vertical="center" wrapText="1"/>
    </xf>
    <xf numFmtId="0" fontId="42" fillId="0" borderId="0" xfId="2"/>
    <xf numFmtId="0" fontId="42" fillId="0" borderId="0" xfId="2" applyAlignment="1">
      <alignment horizontal="center" vertical="center" wrapText="1"/>
    </xf>
    <xf numFmtId="0" fontId="49" fillId="0" borderId="0" xfId="2" applyFont="1"/>
    <xf numFmtId="0" fontId="29" fillId="0" borderId="0" xfId="0" applyFont="1" applyAlignment="1">
      <alignment horizontal="center"/>
    </xf>
    <xf numFmtId="0" fontId="0" fillId="0" borderId="0" xfId="0" applyAlignment="1" applyProtection="1">
      <alignment horizontal="justify" vertical="center"/>
      <protection locked="0"/>
    </xf>
    <xf numFmtId="9" fontId="0" fillId="0" borderId="0" xfId="1" applyFon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/>
      <protection locked="0"/>
    </xf>
    <xf numFmtId="0" fontId="0" fillId="24" borderId="0" xfId="0" applyFill="1" applyProtection="1">
      <protection locked="0"/>
    </xf>
    <xf numFmtId="0" fontId="13" fillId="24" borderId="0" xfId="0" applyFont="1" applyFill="1" applyAlignment="1" applyProtection="1">
      <alignment horizontal="center" vertical="center"/>
      <protection locked="0"/>
    </xf>
    <xf numFmtId="2" fontId="0" fillId="24" borderId="0" xfId="0" applyNumberFormat="1" applyFill="1" applyAlignment="1" applyProtection="1">
      <alignment horizontal="center"/>
      <protection locked="0"/>
    </xf>
    <xf numFmtId="2" fontId="0" fillId="24" borderId="0" xfId="0" applyNumberFormat="1" applyFill="1" applyProtection="1">
      <protection locked="0"/>
    </xf>
    <xf numFmtId="0" fontId="50" fillId="24" borderId="0" xfId="0" applyFont="1" applyFill="1" applyAlignment="1" applyProtection="1">
      <alignment horizontal="center" vertical="center"/>
      <protection locked="0"/>
    </xf>
    <xf numFmtId="0" fontId="51" fillId="0" borderId="2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left" vertical="center" wrapText="1"/>
    </xf>
    <xf numFmtId="0" fontId="51" fillId="0" borderId="30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left" vertical="center" wrapText="1"/>
    </xf>
    <xf numFmtId="14" fontId="10" fillId="0" borderId="30" xfId="0" applyNumberFormat="1" applyFont="1" applyBorder="1" applyAlignment="1">
      <alignment horizontal="left" vertical="center" wrapText="1"/>
    </xf>
    <xf numFmtId="0" fontId="51" fillId="0" borderId="29" xfId="0" applyFont="1" applyBorder="1" applyAlignment="1">
      <alignment horizontal="right" vertical="center"/>
    </xf>
    <xf numFmtId="0" fontId="0" fillId="24" borderId="0" xfId="0" applyFill="1" applyAlignment="1">
      <alignment horizontal="center" vertical="center"/>
    </xf>
    <xf numFmtId="0" fontId="52" fillId="24" borderId="0" xfId="0" applyFont="1" applyFill="1" applyAlignment="1">
      <alignment horizontal="center" vertical="center"/>
    </xf>
    <xf numFmtId="0" fontId="0" fillId="24" borderId="0" xfId="0" applyFill="1" applyAlignment="1">
      <alignment vertical="center"/>
    </xf>
    <xf numFmtId="0" fontId="1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6" fillId="20" borderId="0" xfId="0" applyFont="1" applyFill="1"/>
    <xf numFmtId="0" fontId="8" fillId="0" borderId="0" xfId="0" applyFont="1"/>
    <xf numFmtId="0" fontId="57" fillId="0" borderId="4" xfId="0" applyFont="1" applyBorder="1" applyAlignment="1">
      <alignment horizontal="justify" vertical="center" wrapText="1"/>
    </xf>
    <xf numFmtId="0" fontId="57" fillId="0" borderId="5" xfId="0" applyFont="1" applyBorder="1" applyAlignment="1">
      <alignment vertical="center" wrapText="1"/>
    </xf>
    <xf numFmtId="0" fontId="57" fillId="0" borderId="5" xfId="0" applyFont="1" applyBorder="1" applyAlignment="1">
      <alignment horizontal="justify" vertical="center" wrapText="1"/>
    </xf>
    <xf numFmtId="0" fontId="57" fillId="0" borderId="5" xfId="0" applyFont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41" fillId="0" borderId="2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7" fillId="8" borderId="1" xfId="0" applyFont="1" applyFill="1" applyBorder="1"/>
    <xf numFmtId="0" fontId="8" fillId="0" borderId="7" xfId="0" applyFont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57" fillId="15" borderId="2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23" xfId="0" applyFont="1" applyFill="1" applyBorder="1" applyAlignment="1">
      <alignment horizontal="center" vertical="center"/>
    </xf>
    <xf numFmtId="0" fontId="57" fillId="16" borderId="23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57" fillId="17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57" fillId="18" borderId="23" xfId="0" applyFont="1" applyFill="1" applyBorder="1" applyAlignment="1">
      <alignment horizontal="center" vertical="center"/>
    </xf>
    <xf numFmtId="0" fontId="8" fillId="0" borderId="1" xfId="0" applyFont="1" applyBorder="1"/>
    <xf numFmtId="0" fontId="58" fillId="12" borderId="25" xfId="0" applyFont="1" applyFill="1" applyBorder="1" applyAlignment="1">
      <alignment horizontal="center" vertical="center"/>
    </xf>
    <xf numFmtId="0" fontId="58" fillId="19" borderId="25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6" fillId="20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56" fillId="21" borderId="0" xfId="0" applyFont="1" applyFill="1"/>
    <xf numFmtId="0" fontId="8" fillId="22" borderId="0" xfId="0" applyFont="1" applyFill="1"/>
    <xf numFmtId="0" fontId="8" fillId="22" borderId="9" xfId="0" applyFont="1" applyFill="1" applyBorder="1"/>
    <xf numFmtId="9" fontId="8" fillId="0" borderId="0" xfId="0" applyNumberFormat="1" applyFont="1"/>
    <xf numFmtId="9" fontId="8" fillId="0" borderId="0" xfId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4" fontId="61" fillId="27" borderId="1" xfId="2" applyNumberFormat="1" applyFont="1" applyFill="1" applyBorder="1" applyAlignment="1" applyProtection="1">
      <alignment horizontal="center" vertical="center" wrapText="1"/>
      <protection locked="0"/>
    </xf>
    <xf numFmtId="14" fontId="62" fillId="28" borderId="1" xfId="2" applyNumberFormat="1" applyFont="1" applyFill="1" applyBorder="1" applyAlignment="1" applyProtection="1">
      <alignment horizontal="center" vertical="center" wrapText="1"/>
      <protection locked="0"/>
    </xf>
    <xf numFmtId="0" fontId="63" fillId="29" borderId="1" xfId="2" applyFont="1" applyFill="1" applyBorder="1" applyAlignment="1" applyProtection="1">
      <alignment horizontal="center" vertical="center" wrapText="1"/>
      <protection locked="0"/>
    </xf>
    <xf numFmtId="0" fontId="41" fillId="23" borderId="1" xfId="0" applyFont="1" applyFill="1" applyBorder="1" applyAlignment="1">
      <alignment horizontal="center" vertical="center" wrapText="1"/>
    </xf>
    <xf numFmtId="0" fontId="64" fillId="0" borderId="0" xfId="0" applyFont="1"/>
    <xf numFmtId="0" fontId="65" fillId="0" borderId="1" xfId="2" applyFont="1" applyBorder="1" applyAlignment="1" applyProtection="1">
      <alignment horizontal="justify" vertical="center" wrapText="1"/>
      <protection locked="0"/>
    </xf>
    <xf numFmtId="0" fontId="2" fillId="32" borderId="1" xfId="0" applyFont="1" applyFill="1" applyBorder="1" applyAlignment="1" applyProtection="1">
      <alignment horizontal="center" vertical="center" wrapText="1"/>
      <protection locked="0"/>
    </xf>
    <xf numFmtId="0" fontId="2" fillId="31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/>
    </xf>
    <xf numFmtId="0" fontId="0" fillId="0" borderId="1" xfId="0" applyBorder="1" applyAlignment="1" applyProtection="1">
      <alignment horizontal="center" vertical="center" wrapText="1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0" fontId="39" fillId="24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65" fillId="0" borderId="1" xfId="2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quotePrefix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9" fontId="20" fillId="0" borderId="1" xfId="0" applyNumberFormat="1" applyFont="1" applyBorder="1" applyAlignment="1" applyProtection="1">
      <alignment horizontal="center" vertical="center" wrapText="1"/>
      <protection hidden="1"/>
    </xf>
    <xf numFmtId="0" fontId="35" fillId="24" borderId="1" xfId="0" applyFont="1" applyFill="1" applyBorder="1" applyAlignment="1" applyProtection="1">
      <alignment horizontal="justify" vertical="center" wrapText="1"/>
      <protection locked="0"/>
    </xf>
    <xf numFmtId="0" fontId="8" fillId="0" borderId="30" xfId="0" applyFont="1" applyBorder="1" applyAlignment="1">
      <alignment horizontal="justify" vertical="center" wrapText="1"/>
    </xf>
    <xf numFmtId="0" fontId="35" fillId="2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9" fontId="10" fillId="0" borderId="1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35" fillId="0" borderId="1" xfId="1" applyFont="1" applyFill="1" applyBorder="1" applyAlignment="1" applyProtection="1">
      <alignment horizontal="center" vertical="center" wrapText="1"/>
      <protection locked="0"/>
    </xf>
    <xf numFmtId="9" fontId="35" fillId="0" borderId="1" xfId="1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9" fontId="10" fillId="0" borderId="1" xfId="1" applyFont="1" applyFill="1" applyBorder="1" applyAlignment="1" applyProtection="1">
      <alignment horizontal="center" vertical="center"/>
      <protection locked="0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60" fillId="0" borderId="1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Border="1" applyAlignment="1" applyProtection="1">
      <alignment horizontal="center" vertical="center" wrapText="1"/>
      <protection locked="0"/>
    </xf>
    <xf numFmtId="14" fontId="3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hidden="1"/>
    </xf>
    <xf numFmtId="0" fontId="31" fillId="8" borderId="1" xfId="0" applyFont="1" applyFill="1" applyBorder="1" applyAlignment="1" applyProtection="1">
      <alignment horizontal="center" vertical="center" wrapText="1"/>
      <protection hidden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34" fillId="25" borderId="1" xfId="0" applyFont="1" applyFill="1" applyBorder="1" applyAlignment="1" applyProtection="1">
      <alignment horizontal="left" vertical="top" wrapText="1"/>
      <protection locked="0"/>
    </xf>
    <xf numFmtId="9" fontId="35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25" borderId="1" xfId="0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Protection="1">
      <protection locked="0"/>
    </xf>
    <xf numFmtId="9" fontId="0" fillId="0" borderId="1" xfId="1" applyFont="1" applyBorder="1" applyProtection="1">
      <protection locked="0"/>
    </xf>
    <xf numFmtId="0" fontId="2" fillId="34" borderId="1" xfId="0" applyFont="1" applyFill="1" applyBorder="1" applyAlignment="1">
      <alignment horizontal="center" vertical="center" wrapText="1"/>
    </xf>
    <xf numFmtId="0" fontId="54" fillId="34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 applyProtection="1">
      <alignment horizontal="center" vertical="center" wrapText="1"/>
      <protection locked="0"/>
    </xf>
    <xf numFmtId="0" fontId="53" fillId="38" borderId="1" xfId="0" applyFont="1" applyFill="1" applyBorder="1" applyAlignment="1" applyProtection="1">
      <alignment horizontal="center" vertical="center" wrapText="1"/>
      <protection locked="0"/>
    </xf>
    <xf numFmtId="9" fontId="20" fillId="2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5" borderId="1" xfId="0" applyFont="1" applyFill="1" applyBorder="1" applyAlignment="1" applyProtection="1">
      <alignment horizontal="justify" vertical="center" wrapText="1"/>
      <protection hidden="1"/>
    </xf>
    <xf numFmtId="0" fontId="35" fillId="25" borderId="1" xfId="0" quotePrefix="1" applyFont="1" applyFill="1" applyBorder="1" applyAlignment="1" applyProtection="1">
      <alignment horizontal="justify" vertical="center" wrapText="1"/>
      <protection hidden="1"/>
    </xf>
    <xf numFmtId="0" fontId="34" fillId="25" borderId="1" xfId="0" quotePrefix="1" applyFont="1" applyFill="1" applyBorder="1" applyAlignment="1" applyProtection="1">
      <alignment vertical="center" wrapText="1"/>
      <protection hidden="1"/>
    </xf>
    <xf numFmtId="0" fontId="20" fillId="25" borderId="1" xfId="0" applyFont="1" applyFill="1" applyBorder="1" applyAlignment="1" applyProtection="1">
      <alignment horizontal="justify" vertical="center" wrapText="1"/>
      <protection hidden="1"/>
    </xf>
    <xf numFmtId="0" fontId="12" fillId="26" borderId="1" xfId="0" applyFont="1" applyFill="1" applyBorder="1" applyAlignment="1">
      <alignment horizontal="center" vertical="center" wrapText="1"/>
    </xf>
    <xf numFmtId="0" fontId="35" fillId="25" borderId="1" xfId="0" applyFont="1" applyFill="1" applyBorder="1" applyAlignment="1" applyProtection="1">
      <alignment horizontal="center" vertical="center" wrapText="1"/>
      <protection hidden="1"/>
    </xf>
    <xf numFmtId="0" fontId="35" fillId="25" borderId="1" xfId="0" quotePrefix="1" applyFont="1" applyFill="1" applyBorder="1" applyAlignment="1" applyProtection="1">
      <alignment horizontal="center" vertical="center" wrapText="1"/>
      <protection hidden="1"/>
    </xf>
    <xf numFmtId="9" fontId="34" fillId="25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vertical="center" wrapText="1"/>
      <protection locked="0"/>
    </xf>
    <xf numFmtId="9" fontId="61" fillId="27" borderId="1" xfId="2" applyNumberFormat="1" applyFont="1" applyFill="1" applyBorder="1" applyAlignment="1" applyProtection="1">
      <alignment horizontal="center" vertical="center" wrapText="1"/>
      <protection locked="0"/>
    </xf>
    <xf numFmtId="9" fontId="63" fillId="29" borderId="1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quotePrefix="1" applyFont="1" applyBorder="1" applyAlignment="1" applyProtection="1">
      <alignment vertical="center" wrapText="1"/>
      <protection locked="0"/>
    </xf>
    <xf numFmtId="9" fontId="31" fillId="2" borderId="1" xfId="1" applyFont="1" applyFill="1" applyBorder="1" applyAlignment="1" applyProtection="1">
      <alignment horizontal="center" vertical="center" wrapText="1"/>
      <protection hidden="1"/>
    </xf>
    <xf numFmtId="9" fontId="31" fillId="8" borderId="1" xfId="1" applyFont="1" applyFill="1" applyBorder="1" applyAlignment="1" applyProtection="1">
      <alignment horizontal="center" vertical="center" wrapText="1"/>
      <protection hidden="1"/>
    </xf>
    <xf numFmtId="9" fontId="31" fillId="5" borderId="1" xfId="1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Protection="1">
      <protection locked="0"/>
    </xf>
    <xf numFmtId="0" fontId="43" fillId="0" borderId="14" xfId="2" applyFont="1" applyBorder="1" applyAlignment="1">
      <alignment horizontal="center" vertical="center" wrapText="1"/>
    </xf>
    <xf numFmtId="0" fontId="43" fillId="0" borderId="8" xfId="2" applyFont="1" applyBorder="1" applyAlignment="1">
      <alignment horizontal="center" vertical="center" wrapText="1"/>
    </xf>
    <xf numFmtId="0" fontId="43" fillId="0" borderId="15" xfId="2" applyFont="1" applyBorder="1" applyAlignment="1">
      <alignment horizontal="center" vertical="center" wrapText="1"/>
    </xf>
    <xf numFmtId="0" fontId="43" fillId="0" borderId="16" xfId="2" applyFont="1" applyBorder="1" applyAlignment="1">
      <alignment horizontal="center" vertical="center" wrapText="1"/>
    </xf>
    <xf numFmtId="0" fontId="43" fillId="0" borderId="0" xfId="2" applyFont="1" applyAlignment="1">
      <alignment horizontal="center" vertical="center" wrapText="1"/>
    </xf>
    <xf numFmtId="0" fontId="43" fillId="0" borderId="9" xfId="2" applyFont="1" applyBorder="1" applyAlignment="1">
      <alignment horizontal="center" vertical="center" wrapText="1"/>
    </xf>
    <xf numFmtId="0" fontId="43" fillId="0" borderId="17" xfId="2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8" xfId="2" applyFont="1" applyBorder="1" applyAlignment="1">
      <alignment horizontal="center" vertical="center" wrapText="1"/>
    </xf>
    <xf numFmtId="0" fontId="44" fillId="0" borderId="1" xfId="2" applyFont="1" applyBorder="1" applyAlignment="1">
      <alignment horizontal="center" vertical="center" wrapText="1"/>
    </xf>
    <xf numFmtId="0" fontId="44" fillId="0" borderId="1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0" fontId="29" fillId="0" borderId="1" xfId="2" applyFont="1" applyBorder="1"/>
    <xf numFmtId="0" fontId="48" fillId="0" borderId="1" xfId="2" applyFont="1" applyBorder="1" applyAlignment="1">
      <alignment horizontal="justify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56" fillId="21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41" fillId="32" borderId="1" xfId="0" applyFont="1" applyFill="1" applyBorder="1" applyAlignment="1">
      <alignment horizontal="center" vertical="center" wrapText="1"/>
    </xf>
    <xf numFmtId="0" fontId="41" fillId="23" borderId="1" xfId="0" applyFont="1" applyFill="1" applyBorder="1" applyAlignment="1">
      <alignment horizontal="center" vertical="center" wrapText="1"/>
    </xf>
    <xf numFmtId="0" fontId="40" fillId="33" borderId="1" xfId="0" applyFont="1" applyFill="1" applyBorder="1" applyAlignment="1">
      <alignment horizontal="center" vertical="center" wrapText="1"/>
    </xf>
    <xf numFmtId="0" fontId="41" fillId="23" borderId="6" xfId="0" applyFont="1" applyFill="1" applyBorder="1" applyAlignment="1">
      <alignment horizontal="center" vertical="center" wrapText="1"/>
    </xf>
    <xf numFmtId="0" fontId="41" fillId="23" borderId="11" xfId="0" applyFont="1" applyFill="1" applyBorder="1" applyAlignment="1">
      <alignment horizontal="center" vertical="center" wrapText="1"/>
    </xf>
    <xf numFmtId="0" fontId="41" fillId="23" borderId="7" xfId="0" applyFont="1" applyFill="1" applyBorder="1" applyAlignment="1">
      <alignment horizontal="center" vertical="center" wrapText="1"/>
    </xf>
    <xf numFmtId="0" fontId="40" fillId="33" borderId="6" xfId="0" applyFont="1" applyFill="1" applyBorder="1" applyAlignment="1">
      <alignment horizontal="center" vertical="center" wrapText="1"/>
    </xf>
    <xf numFmtId="0" fontId="40" fillId="33" borderId="11" xfId="0" applyFont="1" applyFill="1" applyBorder="1" applyAlignment="1">
      <alignment horizontal="center" vertical="center" wrapText="1"/>
    </xf>
    <xf numFmtId="0" fontId="40" fillId="33" borderId="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center" vertical="center"/>
    </xf>
    <xf numFmtId="0" fontId="13" fillId="33" borderId="1" xfId="0" applyFont="1" applyFill="1" applyBorder="1" applyAlignment="1">
      <alignment horizontal="center" vertical="center" wrapText="1"/>
    </xf>
    <xf numFmtId="0" fontId="13" fillId="33" borderId="6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1" fillId="0" borderId="1" xfId="2" applyFont="1" applyBorder="1" applyAlignment="1">
      <alignment horizontal="center" vertical="center" wrapText="1"/>
    </xf>
    <xf numFmtId="0" fontId="56" fillId="30" borderId="1" xfId="0" applyFont="1" applyFill="1" applyBorder="1" applyAlignment="1">
      <alignment horizontal="center" vertical="center" wrapText="1"/>
    </xf>
    <xf numFmtId="0" fontId="56" fillId="30" borderId="9" xfId="0" applyFont="1" applyFill="1" applyBorder="1" applyAlignment="1">
      <alignment horizontal="center" vertical="center" wrapText="1"/>
    </xf>
    <xf numFmtId="0" fontId="56" fillId="30" borderId="18" xfId="0" applyFont="1" applyFill="1" applyBorder="1" applyAlignment="1">
      <alignment horizontal="center" vertical="center" wrapText="1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11" xfId="0" applyFont="1" applyFill="1" applyBorder="1" applyAlignment="1" applyProtection="1">
      <alignment horizontal="center" vertical="center" wrapText="1"/>
      <protection locked="0"/>
    </xf>
    <xf numFmtId="0" fontId="2" fillId="32" borderId="7" xfId="0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4" fillId="37" borderId="1" xfId="0" applyFont="1" applyFill="1" applyBorder="1" applyAlignment="1">
      <alignment horizontal="center" vertical="center"/>
    </xf>
    <xf numFmtId="0" fontId="53" fillId="36" borderId="1" xfId="0" applyFont="1" applyFill="1" applyBorder="1" applyAlignment="1" applyProtection="1">
      <alignment horizontal="center" vertical="center" wrapText="1"/>
      <protection locked="0"/>
    </xf>
    <xf numFmtId="0" fontId="59" fillId="33" borderId="1" xfId="0" applyFont="1" applyFill="1" applyBorder="1" applyAlignment="1">
      <alignment horizontal="center" vertical="center"/>
    </xf>
    <xf numFmtId="0" fontId="53" fillId="35" borderId="6" xfId="0" applyFont="1" applyFill="1" applyBorder="1" applyAlignment="1" applyProtection="1">
      <alignment horizontal="center" vertical="center" wrapText="1"/>
      <protection locked="0"/>
    </xf>
    <xf numFmtId="0" fontId="53" fillId="35" borderId="11" xfId="0" applyFont="1" applyFill="1" applyBorder="1" applyAlignment="1" applyProtection="1">
      <alignment horizontal="center" vertical="center" wrapText="1"/>
      <protection locked="0"/>
    </xf>
    <xf numFmtId="0" fontId="53" fillId="35" borderId="7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hidden="1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 textRotation="90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 wrapText="1"/>
      <protection hidden="1"/>
    </xf>
    <xf numFmtId="0" fontId="39" fillId="24" borderId="1" xfId="0" applyFont="1" applyFill="1" applyBorder="1" applyAlignment="1" applyProtection="1">
      <alignment horizontal="center" vertical="center"/>
      <protection hidden="1"/>
    </xf>
    <xf numFmtId="0" fontId="23" fillId="26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9" fontId="3" fillId="0" borderId="1" xfId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0" fillId="0" borderId="4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center"/>
      <protection hidden="1"/>
    </xf>
    <xf numFmtId="0" fontId="14" fillId="0" borderId="11" xfId="0" applyFont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2" fillId="26" borderId="1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3" fillId="11" borderId="6" xfId="0" applyFont="1" applyFill="1" applyBorder="1" applyAlignment="1" applyProtection="1">
      <alignment horizontal="center" vertical="center"/>
      <protection locked="0"/>
    </xf>
    <xf numFmtId="0" fontId="13" fillId="11" borderId="11" xfId="0" applyFont="1" applyFill="1" applyBorder="1" applyAlignment="1" applyProtection="1">
      <alignment horizontal="center" vertical="center"/>
      <protection locked="0"/>
    </xf>
    <xf numFmtId="0" fontId="13" fillId="11" borderId="7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justify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2" fillId="38" borderId="10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9" fillId="24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right" vertical="center" textRotation="90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justify" vertical="center"/>
      <protection locked="0"/>
    </xf>
  </cellXfs>
  <cellStyles count="3">
    <cellStyle name="Normal" xfId="0" builtinId="0"/>
    <cellStyle name="Normal 2" xfId="2" xr:uid="{B75A9706-98F8-4F8E-9B15-167253BF09BF}"/>
    <cellStyle name="Porcentaje" xfId="1" builtinId="5"/>
  </cellStyles>
  <dxfs count="14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A24866F5-1D28-43B3-BB14-B4CFA08F06D7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D9FD7CE0-77F7-433F-86F0-36D0FAAA54FE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" name="Autoforma 5">
          <a:extLst>
            <a:ext uri="{FF2B5EF4-FFF2-40B4-BE49-F238E27FC236}">
              <a16:creationId xmlns:a16="http://schemas.microsoft.com/office/drawing/2014/main" id="{8C73C854-A39F-4E54-851C-957409C1C45C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7ABB2DD4-1F76-49A1-ACC6-0443F7643856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EDA02A93-6F98-4A55-9A07-047FAEF252A0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8ACB0A94-AB32-4354-AE26-21EEA38877AE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D7DC762B-AB3B-4804-B31A-FFEA3BC0ACAE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BFD3C096-F1FD-409F-93CD-3DDE1863B5FF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6D0B4615-611D-43FB-97B4-3223489D02C1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6265611B-B976-4333-A7BE-5091BD055114}"/>
            </a:ext>
          </a:extLst>
        </xdr:cNvPr>
        <xdr:cNvSpPr>
          <a:spLocks noChangeArrowheads="1"/>
        </xdr:cNvSpPr>
      </xdr:nvSpPr>
      <xdr:spPr bwMode="auto">
        <a:xfrm>
          <a:off x="1914525" y="762000"/>
          <a:ext cx="12954000" cy="5657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78440</xdr:colOff>
      <xdr:row>1</xdr:row>
      <xdr:rowOff>89647</xdr:rowOff>
    </xdr:from>
    <xdr:to>
      <xdr:col>1</xdr:col>
      <xdr:colOff>2263587</xdr:colOff>
      <xdr:row>4</xdr:row>
      <xdr:rowOff>291353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C69B8B2-0EEF-4E85-AB4E-E9CDF284F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440" y="280147"/>
          <a:ext cx="4099672" cy="773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286774</xdr:colOff>
      <xdr:row>0</xdr:row>
      <xdr:rowOff>0</xdr:rowOff>
    </xdr:from>
    <xdr:to>
      <xdr:col>2</xdr:col>
      <xdr:colOff>1245799</xdr:colOff>
      <xdr:row>3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D6DE8B-D12F-4ADB-A6F3-8F8C5BEF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8774" y="0"/>
          <a:ext cx="4078463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352006</xdr:colOff>
      <xdr:row>0</xdr:row>
      <xdr:rowOff>0</xdr:rowOff>
    </xdr:from>
    <xdr:to>
      <xdr:col>2</xdr:col>
      <xdr:colOff>2359220</xdr:colOff>
      <xdr:row>3</xdr:row>
      <xdr:rowOff>116784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E2DFD-F201-4FA1-B859-A250009A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006" y="0"/>
          <a:ext cx="3808305" cy="13775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0</xdr:rowOff>
    </xdr:from>
    <xdr:to>
      <xdr:col>1</xdr:col>
      <xdr:colOff>1668781</xdr:colOff>
      <xdr:row>0</xdr:row>
      <xdr:rowOff>846191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3EE899-4106-4A5D-85C8-814E1ED9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921" y="0"/>
          <a:ext cx="2339340" cy="8461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145589</xdr:colOff>
      <xdr:row>0</xdr:row>
      <xdr:rowOff>6927</xdr:rowOff>
    </xdr:from>
    <xdr:to>
      <xdr:col>1</xdr:col>
      <xdr:colOff>1529773</xdr:colOff>
      <xdr:row>3</xdr:row>
      <xdr:rowOff>72208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37CC7B-0D5F-4AF3-9814-CB2F5ADD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589" y="6927"/>
          <a:ext cx="3116002" cy="7718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" name="Imagen 305" descr="http://www.icbf.gov.co/images/pobtrans.gif">
          <a:extLst>
            <a:ext uri="{FF2B5EF4-FFF2-40B4-BE49-F238E27FC236}">
              <a16:creationId xmlns:a16="http://schemas.microsoft.com/office/drawing/2014/main" id="{5B2C2350-91C4-449E-8067-72AF2E94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" name="Imagen 306" descr="http://www.icbf.gov.co/images/pobtrans.gif">
          <a:extLst>
            <a:ext uri="{FF2B5EF4-FFF2-40B4-BE49-F238E27FC236}">
              <a16:creationId xmlns:a16="http://schemas.microsoft.com/office/drawing/2014/main" id="{16BC563F-F054-4659-8D6F-A7BC315AE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" name="Imagen 307" descr="http://www.icbf.gov.co/images/pobtrans.gif">
          <a:extLst>
            <a:ext uri="{FF2B5EF4-FFF2-40B4-BE49-F238E27FC236}">
              <a16:creationId xmlns:a16="http://schemas.microsoft.com/office/drawing/2014/main" id="{410EAA67-8B89-4E85-A9C7-C2E3ADEC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" name="Imagen 697" descr="http://www.icbf.gov.co/images/pobtrans.gif">
          <a:extLst>
            <a:ext uri="{FF2B5EF4-FFF2-40B4-BE49-F238E27FC236}">
              <a16:creationId xmlns:a16="http://schemas.microsoft.com/office/drawing/2014/main" id="{15FF95FF-5875-4301-A883-64C54D18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" name="Imagen 785" descr="http://www.icbf.gov.co/images/pobtrans.gif">
          <a:extLst>
            <a:ext uri="{FF2B5EF4-FFF2-40B4-BE49-F238E27FC236}">
              <a16:creationId xmlns:a16="http://schemas.microsoft.com/office/drawing/2014/main" id="{F00C1EC5-1FAA-4DD8-9EC1-E0F2AD63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" name="Imagen 790" descr="http://www.icbf.gov.co/images/pobtrans.gif">
          <a:extLst>
            <a:ext uri="{FF2B5EF4-FFF2-40B4-BE49-F238E27FC236}">
              <a16:creationId xmlns:a16="http://schemas.microsoft.com/office/drawing/2014/main" id="{FBAC7ADB-5610-42E6-844A-9D611AD1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" name="Imagen 1079" descr="http://www.icbf.gov.co/images/pobtrans.gif">
          <a:extLst>
            <a:ext uri="{FF2B5EF4-FFF2-40B4-BE49-F238E27FC236}">
              <a16:creationId xmlns:a16="http://schemas.microsoft.com/office/drawing/2014/main" id="{0A70E0CF-B3BB-42C9-8838-0A31F287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" name="Imagen 1566" descr="http://www.icbf.gov.co/images/pobtrans.gif">
          <a:extLst>
            <a:ext uri="{FF2B5EF4-FFF2-40B4-BE49-F238E27FC236}">
              <a16:creationId xmlns:a16="http://schemas.microsoft.com/office/drawing/2014/main" id="{AEB3360B-8FC2-46BB-9771-912A54D6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" name="Imagen 1570" descr="http://www.icbf.gov.co/images/pobtrans.gif">
          <a:extLst>
            <a:ext uri="{FF2B5EF4-FFF2-40B4-BE49-F238E27FC236}">
              <a16:creationId xmlns:a16="http://schemas.microsoft.com/office/drawing/2014/main" id="{B06B9B00-9C5A-47D5-B6ED-63BB5345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" name="Imagen 1687" descr="http://www.icbf.gov.co/images/pobtrans.gif">
          <a:extLst>
            <a:ext uri="{FF2B5EF4-FFF2-40B4-BE49-F238E27FC236}">
              <a16:creationId xmlns:a16="http://schemas.microsoft.com/office/drawing/2014/main" id="{DA377E00-313A-4AEC-8DFE-96392A8C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" name="Imagen 1914" descr="http://www.icbf.gov.co/images/pobtrans.gif">
          <a:extLst>
            <a:ext uri="{FF2B5EF4-FFF2-40B4-BE49-F238E27FC236}">
              <a16:creationId xmlns:a16="http://schemas.microsoft.com/office/drawing/2014/main" id="{0A4B7327-9AF9-4CCB-AFEE-A81BF54D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" name="Imagen 2186" descr="http://www.icbf.gov.co/images/pobtrans.gif">
          <a:extLst>
            <a:ext uri="{FF2B5EF4-FFF2-40B4-BE49-F238E27FC236}">
              <a16:creationId xmlns:a16="http://schemas.microsoft.com/office/drawing/2014/main" id="{DC226DDB-63F1-4E61-A8B5-D9AD3459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5" name="Imagen 2221" descr="http://www.icbf.gov.co/images/pobtrans.gif">
          <a:extLst>
            <a:ext uri="{FF2B5EF4-FFF2-40B4-BE49-F238E27FC236}">
              <a16:creationId xmlns:a16="http://schemas.microsoft.com/office/drawing/2014/main" id="{E2940487-9304-416C-81F0-14F72AC8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6" name="Imagen 2859" descr="http://www.icbf.gov.co/images/pobtrans.gif">
          <a:extLst>
            <a:ext uri="{FF2B5EF4-FFF2-40B4-BE49-F238E27FC236}">
              <a16:creationId xmlns:a16="http://schemas.microsoft.com/office/drawing/2014/main" id="{2D9E39BA-92B5-4A61-8385-B55DBF09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7" name="Imagen 2870" descr="http://www.icbf.gov.co/images/pobtrans.gif">
          <a:extLst>
            <a:ext uri="{FF2B5EF4-FFF2-40B4-BE49-F238E27FC236}">
              <a16:creationId xmlns:a16="http://schemas.microsoft.com/office/drawing/2014/main" id="{DB7596DA-58CD-45A7-BDCB-11AFB4CB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8" name="Imagen 2951" descr="http://www.icbf.gov.co/images/pobtrans.gif">
          <a:extLst>
            <a:ext uri="{FF2B5EF4-FFF2-40B4-BE49-F238E27FC236}">
              <a16:creationId xmlns:a16="http://schemas.microsoft.com/office/drawing/2014/main" id="{C80981B4-A789-48A8-BB36-92281DA9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9" name="Imagen 2954" descr="http://www.icbf.gov.co/images/pobtrans.gif">
          <a:extLst>
            <a:ext uri="{FF2B5EF4-FFF2-40B4-BE49-F238E27FC236}">
              <a16:creationId xmlns:a16="http://schemas.microsoft.com/office/drawing/2014/main" id="{354FAD0F-3A0D-425C-BE21-8B535CBD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0" name="Imagen 3123" descr="http://www.icbf.gov.co/images/pobtrans.gif">
          <a:extLst>
            <a:ext uri="{FF2B5EF4-FFF2-40B4-BE49-F238E27FC236}">
              <a16:creationId xmlns:a16="http://schemas.microsoft.com/office/drawing/2014/main" id="{59BB46D4-ED7F-4D50-9BFD-D8DB3331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1" name="Imagen 3206" descr="http://www.icbf.gov.co/images/pobtrans.gif">
          <a:extLst>
            <a:ext uri="{FF2B5EF4-FFF2-40B4-BE49-F238E27FC236}">
              <a16:creationId xmlns:a16="http://schemas.microsoft.com/office/drawing/2014/main" id="{F26168AA-1E8F-444F-B216-FCB2519D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2" name="Imagen 3810" descr="http://www.icbf.gov.co/images/pobtrans.gif">
          <a:extLst>
            <a:ext uri="{FF2B5EF4-FFF2-40B4-BE49-F238E27FC236}">
              <a16:creationId xmlns:a16="http://schemas.microsoft.com/office/drawing/2014/main" id="{0915A074-7CA0-47E4-B01A-AD2EBE57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3" name="Imagen 3821" descr="http://www.icbf.gov.co/images/pobtrans.gif">
          <a:extLst>
            <a:ext uri="{FF2B5EF4-FFF2-40B4-BE49-F238E27FC236}">
              <a16:creationId xmlns:a16="http://schemas.microsoft.com/office/drawing/2014/main" id="{9CD404D2-7771-4F05-A96D-738199F1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4" name="Imagen 3899" descr="http://www.icbf.gov.co/images/pobtrans.gif">
          <a:extLst>
            <a:ext uri="{FF2B5EF4-FFF2-40B4-BE49-F238E27FC236}">
              <a16:creationId xmlns:a16="http://schemas.microsoft.com/office/drawing/2014/main" id="{3E13E875-26FD-4598-BAA3-07071778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5" name="Imagen 3909" descr="http://www.icbf.gov.co/images/pobtrans.gif">
          <a:extLst>
            <a:ext uri="{FF2B5EF4-FFF2-40B4-BE49-F238E27FC236}">
              <a16:creationId xmlns:a16="http://schemas.microsoft.com/office/drawing/2014/main" id="{F83CF09D-7360-4B0C-A051-6A57C8F1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6" name="Imagen 4244" descr="http://www.icbf.gov.co/images/pobtrans.gif">
          <a:extLst>
            <a:ext uri="{FF2B5EF4-FFF2-40B4-BE49-F238E27FC236}">
              <a16:creationId xmlns:a16="http://schemas.microsoft.com/office/drawing/2014/main" id="{9040560A-FD85-475B-8B22-4B9662A7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7" name="Imagen 4461" descr="http://www.icbf.gov.co/images/pobtrans.gif">
          <a:extLst>
            <a:ext uri="{FF2B5EF4-FFF2-40B4-BE49-F238E27FC236}">
              <a16:creationId xmlns:a16="http://schemas.microsoft.com/office/drawing/2014/main" id="{1C589549-5FE5-40F0-9A00-96087B73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8" name="Imagen 4811" descr="http://www.icbf.gov.co/images/pobtrans.gif">
          <a:extLst>
            <a:ext uri="{FF2B5EF4-FFF2-40B4-BE49-F238E27FC236}">
              <a16:creationId xmlns:a16="http://schemas.microsoft.com/office/drawing/2014/main" id="{CB32F126-1CF4-42A5-9747-837FEAB1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29" name="Imagen 4820" descr="http://www.icbf.gov.co/images/pobtrans.gif">
          <a:extLst>
            <a:ext uri="{FF2B5EF4-FFF2-40B4-BE49-F238E27FC236}">
              <a16:creationId xmlns:a16="http://schemas.microsoft.com/office/drawing/2014/main" id="{8BC167B9-A9D5-4E7F-BDEF-9D71AD92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0" name="Imagen 5584" descr="http://www.icbf.gov.co/images/pobtrans.gif">
          <a:extLst>
            <a:ext uri="{FF2B5EF4-FFF2-40B4-BE49-F238E27FC236}">
              <a16:creationId xmlns:a16="http://schemas.microsoft.com/office/drawing/2014/main" id="{B1F0FBDD-254C-4A15-824C-169A67EB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1" name="Imagen 5931" descr="http://www.icbf.gov.co/images/pobtrans.gif">
          <a:extLst>
            <a:ext uri="{FF2B5EF4-FFF2-40B4-BE49-F238E27FC236}">
              <a16:creationId xmlns:a16="http://schemas.microsoft.com/office/drawing/2014/main" id="{57B09ACC-641C-48EB-8BB9-605BD09C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2" name="Imagen 6103" descr="http://www.icbf.gov.co/images/pobtrans.gif">
          <a:extLst>
            <a:ext uri="{FF2B5EF4-FFF2-40B4-BE49-F238E27FC236}">
              <a16:creationId xmlns:a16="http://schemas.microsoft.com/office/drawing/2014/main" id="{E59B8C53-657B-4626-B2CF-28F4DC50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3" name="Imagen 6107" descr="http://www.icbf.gov.co/images/pobtrans.gif">
          <a:extLst>
            <a:ext uri="{FF2B5EF4-FFF2-40B4-BE49-F238E27FC236}">
              <a16:creationId xmlns:a16="http://schemas.microsoft.com/office/drawing/2014/main" id="{FEDDCDC4-029D-456D-B6FF-A6858688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4" name="Imagen 6731" descr="http://www.icbf.gov.co/images/pobtrans.gif">
          <a:extLst>
            <a:ext uri="{FF2B5EF4-FFF2-40B4-BE49-F238E27FC236}">
              <a16:creationId xmlns:a16="http://schemas.microsoft.com/office/drawing/2014/main" id="{70EA0758-8AA4-4AD6-BDD7-11F30A1B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5" name="Imagen 6951" descr="http://www.icbf.gov.co/images/pobtrans.gif">
          <a:extLst>
            <a:ext uri="{FF2B5EF4-FFF2-40B4-BE49-F238E27FC236}">
              <a16:creationId xmlns:a16="http://schemas.microsoft.com/office/drawing/2014/main" id="{13265B12-A19A-4D16-858F-8221109C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6" name="Imagen 7032" descr="http://www.icbf.gov.co/images/pobtrans.gif">
          <a:extLst>
            <a:ext uri="{FF2B5EF4-FFF2-40B4-BE49-F238E27FC236}">
              <a16:creationId xmlns:a16="http://schemas.microsoft.com/office/drawing/2014/main" id="{8F2B8D62-229D-4EF7-B479-1E0C27A2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7" name="Imagen 7042" descr="http://www.icbf.gov.co/images/pobtrans.gif">
          <a:extLst>
            <a:ext uri="{FF2B5EF4-FFF2-40B4-BE49-F238E27FC236}">
              <a16:creationId xmlns:a16="http://schemas.microsoft.com/office/drawing/2014/main" id="{947F1EBD-62AE-4577-A72F-B0A8CD71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8" name="Imagen 7053" descr="http://www.icbf.gov.co/images/pobtrans.gif">
          <a:extLst>
            <a:ext uri="{FF2B5EF4-FFF2-40B4-BE49-F238E27FC236}">
              <a16:creationId xmlns:a16="http://schemas.microsoft.com/office/drawing/2014/main" id="{6F168438-BB9F-4147-B431-FB3FD28B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39" name="Imagen 7120" descr="http://www.icbf.gov.co/images/pobtrans.gif">
          <a:extLst>
            <a:ext uri="{FF2B5EF4-FFF2-40B4-BE49-F238E27FC236}">
              <a16:creationId xmlns:a16="http://schemas.microsoft.com/office/drawing/2014/main" id="{DCD1ADA4-BA4E-4A8A-A3DE-39531209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0" name="Imagen 7187" descr="http://www.icbf.gov.co/images/pobtrans.gif">
          <a:extLst>
            <a:ext uri="{FF2B5EF4-FFF2-40B4-BE49-F238E27FC236}">
              <a16:creationId xmlns:a16="http://schemas.microsoft.com/office/drawing/2014/main" id="{26405F7C-E8B0-42C0-B1B4-F7DE06BA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1" name="Imagen 7417" descr="http://www.icbf.gov.co/images/pobtrans.gif">
          <a:extLst>
            <a:ext uri="{FF2B5EF4-FFF2-40B4-BE49-F238E27FC236}">
              <a16:creationId xmlns:a16="http://schemas.microsoft.com/office/drawing/2014/main" id="{5A636B71-078B-4F82-A938-CB08957CA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2" name="Imagen 7504" descr="http://www.icbf.gov.co/images/pobtrans.gif">
          <a:extLst>
            <a:ext uri="{FF2B5EF4-FFF2-40B4-BE49-F238E27FC236}">
              <a16:creationId xmlns:a16="http://schemas.microsoft.com/office/drawing/2014/main" id="{B5E395CF-C046-4F7A-9684-B9C521A1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3" name="Imagen 7597" descr="http://www.icbf.gov.co/images/pobtrans.gif">
          <a:extLst>
            <a:ext uri="{FF2B5EF4-FFF2-40B4-BE49-F238E27FC236}">
              <a16:creationId xmlns:a16="http://schemas.microsoft.com/office/drawing/2014/main" id="{E4141364-A16C-4221-887E-CDB0A9D4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4" name="Imagen 7659" descr="http://www.icbf.gov.co/images/pobtrans.gif">
          <a:extLst>
            <a:ext uri="{FF2B5EF4-FFF2-40B4-BE49-F238E27FC236}">
              <a16:creationId xmlns:a16="http://schemas.microsoft.com/office/drawing/2014/main" id="{F1467B29-523D-4313-B43A-843AB7FF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5" name="Imagen 7767" descr="http://www.icbf.gov.co/images/pobtrans.gif">
          <a:extLst>
            <a:ext uri="{FF2B5EF4-FFF2-40B4-BE49-F238E27FC236}">
              <a16:creationId xmlns:a16="http://schemas.microsoft.com/office/drawing/2014/main" id="{0FA87471-E53C-47A5-9A1C-205FA12A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6" name="Imagen 7853" descr="http://www.icbf.gov.co/images/pobtrans.gif">
          <a:extLst>
            <a:ext uri="{FF2B5EF4-FFF2-40B4-BE49-F238E27FC236}">
              <a16:creationId xmlns:a16="http://schemas.microsoft.com/office/drawing/2014/main" id="{2FEEF20C-A9A6-4DEB-8B79-BA0DB876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7" name="Imagen 7936" descr="http://www.icbf.gov.co/images/pobtrans.gif">
          <a:extLst>
            <a:ext uri="{FF2B5EF4-FFF2-40B4-BE49-F238E27FC236}">
              <a16:creationId xmlns:a16="http://schemas.microsoft.com/office/drawing/2014/main" id="{95B2CBF2-3536-40B7-A89A-FACC30AD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8" name="Imagen 8612" descr="http://www.icbf.gov.co/images/pobtrans.gif">
          <a:extLst>
            <a:ext uri="{FF2B5EF4-FFF2-40B4-BE49-F238E27FC236}">
              <a16:creationId xmlns:a16="http://schemas.microsoft.com/office/drawing/2014/main" id="{8A3C624B-740D-40CC-9A36-0F9EFAEA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49" name="Imagen 9931" descr="http://www.icbf.gov.co/images/pobtrans.gif">
          <a:extLst>
            <a:ext uri="{FF2B5EF4-FFF2-40B4-BE49-F238E27FC236}">
              <a16:creationId xmlns:a16="http://schemas.microsoft.com/office/drawing/2014/main" id="{0F071B35-8267-4443-BA64-8E9548D0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0" name="Imagen 10425" descr="http://www.icbf.gov.co/images/pobtrans.gif">
          <a:extLst>
            <a:ext uri="{FF2B5EF4-FFF2-40B4-BE49-F238E27FC236}">
              <a16:creationId xmlns:a16="http://schemas.microsoft.com/office/drawing/2014/main" id="{F855AC13-3477-4CBB-9AA6-AF6FE838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1" name="Imagen 10665" descr="http://www.icbf.gov.co/images/pobtrans.gif">
          <a:extLst>
            <a:ext uri="{FF2B5EF4-FFF2-40B4-BE49-F238E27FC236}">
              <a16:creationId xmlns:a16="http://schemas.microsoft.com/office/drawing/2014/main" id="{802340EA-3CC5-4DE1-9C67-9E1239ED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2" name="Imagen 12565" descr="http://www.icbf.gov.co/images/pobtrans.gif">
          <a:extLst>
            <a:ext uri="{FF2B5EF4-FFF2-40B4-BE49-F238E27FC236}">
              <a16:creationId xmlns:a16="http://schemas.microsoft.com/office/drawing/2014/main" id="{E47B0D61-9A7E-4A29-BF83-0E885032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3" name="Imagen 12591" descr="http://www.icbf.gov.co/images/pobtrans.gif">
          <a:extLst>
            <a:ext uri="{FF2B5EF4-FFF2-40B4-BE49-F238E27FC236}">
              <a16:creationId xmlns:a16="http://schemas.microsoft.com/office/drawing/2014/main" id="{880C042A-9767-454D-A546-E4824FD0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4" name="Imagen 12605" descr="http://www.icbf.gov.co/images/pobtrans.gif">
          <a:extLst>
            <a:ext uri="{FF2B5EF4-FFF2-40B4-BE49-F238E27FC236}">
              <a16:creationId xmlns:a16="http://schemas.microsoft.com/office/drawing/2014/main" id="{298C7CD4-C8AA-4C39-8E1E-BB6612C7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5" name="Imagen 12623" descr="http://www.icbf.gov.co/images/pobtrans.gif">
          <a:extLst>
            <a:ext uri="{FF2B5EF4-FFF2-40B4-BE49-F238E27FC236}">
              <a16:creationId xmlns:a16="http://schemas.microsoft.com/office/drawing/2014/main" id="{3D7497EE-DF36-475E-BE3D-018AAFE02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6" name="Imagen 12635" descr="http://www.icbf.gov.co/images/pobtrans.gif">
          <a:extLst>
            <a:ext uri="{FF2B5EF4-FFF2-40B4-BE49-F238E27FC236}">
              <a16:creationId xmlns:a16="http://schemas.microsoft.com/office/drawing/2014/main" id="{A108DE18-A50A-4BFA-BBB5-68D1D704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7" name="Imagen 12645" descr="http://www.icbf.gov.co/images/pobtrans.gif">
          <a:extLst>
            <a:ext uri="{FF2B5EF4-FFF2-40B4-BE49-F238E27FC236}">
              <a16:creationId xmlns:a16="http://schemas.microsoft.com/office/drawing/2014/main" id="{3E618266-3F4A-4497-A005-6C69D146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8" name="Imagen 12651" descr="http://www.icbf.gov.co/images/pobtrans.gif">
          <a:extLst>
            <a:ext uri="{FF2B5EF4-FFF2-40B4-BE49-F238E27FC236}">
              <a16:creationId xmlns:a16="http://schemas.microsoft.com/office/drawing/2014/main" id="{8F37BFB6-FF5C-4C0F-899B-5EEBABDB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59" name="Imagen 13130" descr="http://www.icbf.gov.co/images/pobtrans.gif">
          <a:extLst>
            <a:ext uri="{FF2B5EF4-FFF2-40B4-BE49-F238E27FC236}">
              <a16:creationId xmlns:a16="http://schemas.microsoft.com/office/drawing/2014/main" id="{75C12675-BCCB-4D39-8A4E-15EBCC71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0" name="Imagen 13576" descr="http://www.icbf.gov.co/images/pobtrans.gif">
          <a:extLst>
            <a:ext uri="{FF2B5EF4-FFF2-40B4-BE49-F238E27FC236}">
              <a16:creationId xmlns:a16="http://schemas.microsoft.com/office/drawing/2014/main" id="{4E1ED6C4-4CCA-4CEE-B57F-5EE7BA42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1" name="Imagen 13599" descr="http://www.icbf.gov.co/images/pobtrans.gif">
          <a:extLst>
            <a:ext uri="{FF2B5EF4-FFF2-40B4-BE49-F238E27FC236}">
              <a16:creationId xmlns:a16="http://schemas.microsoft.com/office/drawing/2014/main" id="{16082FE5-1C95-4673-84CA-FDCE78B8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2" name="Imagen 13600" descr="http://www.icbf.gov.co/images/pobtrans.gif">
          <a:extLst>
            <a:ext uri="{FF2B5EF4-FFF2-40B4-BE49-F238E27FC236}">
              <a16:creationId xmlns:a16="http://schemas.microsoft.com/office/drawing/2014/main" id="{203575FA-BF66-437D-AA84-F95C8A9A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3" name="Imagen 13603" descr="http://www.icbf.gov.co/images/pobtrans.gif">
          <a:extLst>
            <a:ext uri="{FF2B5EF4-FFF2-40B4-BE49-F238E27FC236}">
              <a16:creationId xmlns:a16="http://schemas.microsoft.com/office/drawing/2014/main" id="{378BD3CF-1625-4F18-A6A9-4F5B27BD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4" name="Imagen 13611" descr="http://www.icbf.gov.co/images/pobtrans.gif">
          <a:extLst>
            <a:ext uri="{FF2B5EF4-FFF2-40B4-BE49-F238E27FC236}">
              <a16:creationId xmlns:a16="http://schemas.microsoft.com/office/drawing/2014/main" id="{5CF75B8B-8E70-4AA1-B53A-FF086F31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5" name="Imagen 13903" descr="http://www.icbf.gov.co/images/pobtrans.gif">
          <a:extLst>
            <a:ext uri="{FF2B5EF4-FFF2-40B4-BE49-F238E27FC236}">
              <a16:creationId xmlns:a16="http://schemas.microsoft.com/office/drawing/2014/main" id="{A3EE6999-4BA2-467D-ADC5-5F857079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6" name="Imagen 13983" descr="http://www.icbf.gov.co/images/pobtrans.gif">
          <a:extLst>
            <a:ext uri="{FF2B5EF4-FFF2-40B4-BE49-F238E27FC236}">
              <a16:creationId xmlns:a16="http://schemas.microsoft.com/office/drawing/2014/main" id="{61D5B174-B7ED-4920-A1FE-4EFE1E1C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7" name="Imagen 14387" descr="http://www.icbf.gov.co/images/pobtrans.gif">
          <a:extLst>
            <a:ext uri="{FF2B5EF4-FFF2-40B4-BE49-F238E27FC236}">
              <a16:creationId xmlns:a16="http://schemas.microsoft.com/office/drawing/2014/main" id="{01B53032-6389-43CC-9BE7-4415D54E8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8" name="Imagen 14460" descr="http://www.icbf.gov.co/images/pobtrans.gif">
          <a:extLst>
            <a:ext uri="{FF2B5EF4-FFF2-40B4-BE49-F238E27FC236}">
              <a16:creationId xmlns:a16="http://schemas.microsoft.com/office/drawing/2014/main" id="{90700D32-053B-429F-AE00-A3546B0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69" name="Imagen 14689" descr="http://www.icbf.gov.co/images/pobtrans.gif">
          <a:extLst>
            <a:ext uri="{FF2B5EF4-FFF2-40B4-BE49-F238E27FC236}">
              <a16:creationId xmlns:a16="http://schemas.microsoft.com/office/drawing/2014/main" id="{6D5586F9-8F13-4B31-8E65-13B6B4C4B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0" name="Imagen 14884" descr="http://www.icbf.gov.co/images/pobtrans.gif">
          <a:extLst>
            <a:ext uri="{FF2B5EF4-FFF2-40B4-BE49-F238E27FC236}">
              <a16:creationId xmlns:a16="http://schemas.microsoft.com/office/drawing/2014/main" id="{8DF7B55A-CB2F-4C98-9672-EA3BCDCC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1" name="Imagen 15080" descr="http://www.icbf.gov.co/images/pobtrans.gif">
          <a:extLst>
            <a:ext uri="{FF2B5EF4-FFF2-40B4-BE49-F238E27FC236}">
              <a16:creationId xmlns:a16="http://schemas.microsoft.com/office/drawing/2014/main" id="{81C8BCEF-AB2C-4332-B256-B1996A9A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2" name="Imagen 15397" descr="http://www.icbf.gov.co/images/pobtrans.gif">
          <a:extLst>
            <a:ext uri="{FF2B5EF4-FFF2-40B4-BE49-F238E27FC236}">
              <a16:creationId xmlns:a16="http://schemas.microsoft.com/office/drawing/2014/main" id="{C7C0482D-5E21-4FD0-A449-7A491620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3" name="Imagen 15538" descr="http://www.icbf.gov.co/images/pobtrans.gif">
          <a:extLst>
            <a:ext uri="{FF2B5EF4-FFF2-40B4-BE49-F238E27FC236}">
              <a16:creationId xmlns:a16="http://schemas.microsoft.com/office/drawing/2014/main" id="{4F1D077D-F615-46F2-AD27-F27F6898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4" name="Imagen 15814" descr="http://www.icbf.gov.co/images/pobtrans.gif">
          <a:extLst>
            <a:ext uri="{FF2B5EF4-FFF2-40B4-BE49-F238E27FC236}">
              <a16:creationId xmlns:a16="http://schemas.microsoft.com/office/drawing/2014/main" id="{AB42A420-F188-4BCA-BF9C-DA406E7E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5" name="Imagen 15817" descr="http://www.icbf.gov.co/images/pobtrans.gif">
          <a:extLst>
            <a:ext uri="{FF2B5EF4-FFF2-40B4-BE49-F238E27FC236}">
              <a16:creationId xmlns:a16="http://schemas.microsoft.com/office/drawing/2014/main" id="{26AC4566-C110-4F83-BD0B-BE9A58ED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6" name="Imagen 16193" descr="http://www.icbf.gov.co/images/pobtrans.gif">
          <a:extLst>
            <a:ext uri="{FF2B5EF4-FFF2-40B4-BE49-F238E27FC236}">
              <a16:creationId xmlns:a16="http://schemas.microsoft.com/office/drawing/2014/main" id="{7D2C0225-0314-476A-9165-F1BD4C9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7" name="Imagen 16273" descr="http://www.icbf.gov.co/images/pobtrans.gif">
          <a:extLst>
            <a:ext uri="{FF2B5EF4-FFF2-40B4-BE49-F238E27FC236}">
              <a16:creationId xmlns:a16="http://schemas.microsoft.com/office/drawing/2014/main" id="{3D39AB63-C2BB-419C-9337-3A7083B1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8" name="Imagen 16503" descr="http://www.icbf.gov.co/images/pobtrans.gif">
          <a:extLst>
            <a:ext uri="{FF2B5EF4-FFF2-40B4-BE49-F238E27FC236}">
              <a16:creationId xmlns:a16="http://schemas.microsoft.com/office/drawing/2014/main" id="{FB64D4D3-7654-4E30-9A91-C7096E6B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79" name="Imagen 16724" descr="http://www.icbf.gov.co/images/pobtrans.gif">
          <a:extLst>
            <a:ext uri="{FF2B5EF4-FFF2-40B4-BE49-F238E27FC236}">
              <a16:creationId xmlns:a16="http://schemas.microsoft.com/office/drawing/2014/main" id="{41E372E5-9A00-47C1-B7C2-7BE80D36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0" name="Imagen 17478" descr="http://www.icbf.gov.co/images/pobtrans.gif">
          <a:extLst>
            <a:ext uri="{FF2B5EF4-FFF2-40B4-BE49-F238E27FC236}">
              <a16:creationId xmlns:a16="http://schemas.microsoft.com/office/drawing/2014/main" id="{B5AF17C5-391F-4450-B65E-56C1B7A3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1" name="Imagen 17640" descr="http://www.icbf.gov.co/images/pobtrans.gif">
          <a:extLst>
            <a:ext uri="{FF2B5EF4-FFF2-40B4-BE49-F238E27FC236}">
              <a16:creationId xmlns:a16="http://schemas.microsoft.com/office/drawing/2014/main" id="{7ED748CD-24BA-4669-B12B-EA450863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2" name="Imagen 17642" descr="http://www.icbf.gov.co/images/pobtrans.gif">
          <a:extLst>
            <a:ext uri="{FF2B5EF4-FFF2-40B4-BE49-F238E27FC236}">
              <a16:creationId xmlns:a16="http://schemas.microsoft.com/office/drawing/2014/main" id="{0FB40742-FFFF-4C54-A63E-C4A4DD9F5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3" name="Imagen 19004" descr="http://www.icbf.gov.co/images/pobtrans.gif">
          <a:extLst>
            <a:ext uri="{FF2B5EF4-FFF2-40B4-BE49-F238E27FC236}">
              <a16:creationId xmlns:a16="http://schemas.microsoft.com/office/drawing/2014/main" id="{89FEF4FF-50B6-4119-9190-5071DB71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4" name="Imagen 19474" descr="http://www.icbf.gov.co/images/pobtrans.gif">
          <a:extLst>
            <a:ext uri="{FF2B5EF4-FFF2-40B4-BE49-F238E27FC236}">
              <a16:creationId xmlns:a16="http://schemas.microsoft.com/office/drawing/2014/main" id="{D47303F2-B76B-44FD-A48F-7DDA9487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5" name="Imagen 19708" descr="http://www.icbf.gov.co/images/pobtrans.gif">
          <a:extLst>
            <a:ext uri="{FF2B5EF4-FFF2-40B4-BE49-F238E27FC236}">
              <a16:creationId xmlns:a16="http://schemas.microsoft.com/office/drawing/2014/main" id="{95165C4E-03DD-4618-B859-3763F184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6" name="Imagen 19720" descr="http://www.icbf.gov.co/images/pobtrans.gif">
          <a:extLst>
            <a:ext uri="{FF2B5EF4-FFF2-40B4-BE49-F238E27FC236}">
              <a16:creationId xmlns:a16="http://schemas.microsoft.com/office/drawing/2014/main" id="{9BCBE282-76F9-457C-B138-F93C72B1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7" name="Imagen 19739" descr="http://www.icbf.gov.co/images/pobtrans.gif">
          <a:extLst>
            <a:ext uri="{FF2B5EF4-FFF2-40B4-BE49-F238E27FC236}">
              <a16:creationId xmlns:a16="http://schemas.microsoft.com/office/drawing/2014/main" id="{F616B417-6161-468D-8FE2-6E1C4C42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8" name="Imagen 19765" descr="http://www.icbf.gov.co/images/pobtrans.gif">
          <a:extLst>
            <a:ext uri="{FF2B5EF4-FFF2-40B4-BE49-F238E27FC236}">
              <a16:creationId xmlns:a16="http://schemas.microsoft.com/office/drawing/2014/main" id="{C3C83A31-10AF-47BC-9A08-1A6B9F7D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89" name="Imagen 19774" descr="http://www.icbf.gov.co/images/pobtrans.gif">
          <a:extLst>
            <a:ext uri="{FF2B5EF4-FFF2-40B4-BE49-F238E27FC236}">
              <a16:creationId xmlns:a16="http://schemas.microsoft.com/office/drawing/2014/main" id="{DF11B640-2E9E-465A-8345-5CD7B8C0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0" name="Imagen 20425" descr="http://www.icbf.gov.co/images/pobtrans.gif">
          <a:extLst>
            <a:ext uri="{FF2B5EF4-FFF2-40B4-BE49-F238E27FC236}">
              <a16:creationId xmlns:a16="http://schemas.microsoft.com/office/drawing/2014/main" id="{4BE24AB9-1940-4830-B29B-CC87EBDFC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1" name="Imagen 20722" descr="http://www.icbf.gov.co/images/pobtrans.gif">
          <a:extLst>
            <a:ext uri="{FF2B5EF4-FFF2-40B4-BE49-F238E27FC236}">
              <a16:creationId xmlns:a16="http://schemas.microsoft.com/office/drawing/2014/main" id="{CEABC303-7A9A-4615-8704-1FC0283F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2" name="Imagen 20732" descr="http://www.icbf.gov.co/images/pobtrans.gif">
          <a:extLst>
            <a:ext uri="{FF2B5EF4-FFF2-40B4-BE49-F238E27FC236}">
              <a16:creationId xmlns:a16="http://schemas.microsoft.com/office/drawing/2014/main" id="{D1490556-8E8E-47A5-890D-79A36FC7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3" name="Imagen 21759" descr="http://www.icbf.gov.co/images/pobtrans.gif">
          <a:extLst>
            <a:ext uri="{FF2B5EF4-FFF2-40B4-BE49-F238E27FC236}">
              <a16:creationId xmlns:a16="http://schemas.microsoft.com/office/drawing/2014/main" id="{1B278740-8AB9-4E5D-8D2A-F946D9C4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4" name="Imagen 21761" descr="http://www.icbf.gov.co/images/pobtrans.gif">
          <a:extLst>
            <a:ext uri="{FF2B5EF4-FFF2-40B4-BE49-F238E27FC236}">
              <a16:creationId xmlns:a16="http://schemas.microsoft.com/office/drawing/2014/main" id="{D7F9B87F-8EAD-48A8-B820-20CA622E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5" name="Imagen 22260" descr="http://www.icbf.gov.co/images/pobtrans.gif">
          <a:extLst>
            <a:ext uri="{FF2B5EF4-FFF2-40B4-BE49-F238E27FC236}">
              <a16:creationId xmlns:a16="http://schemas.microsoft.com/office/drawing/2014/main" id="{5C6AFD09-202B-411D-BC47-D88A9C7A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6" name="Imagen 22263" descr="http://www.icbf.gov.co/images/pobtrans.gif">
          <a:extLst>
            <a:ext uri="{FF2B5EF4-FFF2-40B4-BE49-F238E27FC236}">
              <a16:creationId xmlns:a16="http://schemas.microsoft.com/office/drawing/2014/main" id="{042CAE5D-6449-424F-B6A1-9FD85FE2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7" name="Imagen 22421" descr="http://www.icbf.gov.co/images/pobtrans.gif">
          <a:extLst>
            <a:ext uri="{FF2B5EF4-FFF2-40B4-BE49-F238E27FC236}">
              <a16:creationId xmlns:a16="http://schemas.microsoft.com/office/drawing/2014/main" id="{25E9C97E-A089-45F1-BFD7-3500C296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8" name="Imagen 22513" descr="http://www.icbf.gov.co/images/pobtrans.gif">
          <a:extLst>
            <a:ext uri="{FF2B5EF4-FFF2-40B4-BE49-F238E27FC236}">
              <a16:creationId xmlns:a16="http://schemas.microsoft.com/office/drawing/2014/main" id="{251F0999-C285-49F4-A9C3-BB3F001F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99" name="Imagen 22526" descr="http://www.icbf.gov.co/images/pobtrans.gif">
          <a:extLst>
            <a:ext uri="{FF2B5EF4-FFF2-40B4-BE49-F238E27FC236}">
              <a16:creationId xmlns:a16="http://schemas.microsoft.com/office/drawing/2014/main" id="{E65E9E93-D444-4D4C-A659-B0C546E3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0" name="Imagen 22532" descr="http://www.icbf.gov.co/images/pobtrans.gif">
          <a:extLst>
            <a:ext uri="{FF2B5EF4-FFF2-40B4-BE49-F238E27FC236}">
              <a16:creationId xmlns:a16="http://schemas.microsoft.com/office/drawing/2014/main" id="{6A572646-9BA4-4889-91C2-20D3ADBA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1" name="Imagen 22541" descr="http://www.icbf.gov.co/images/pobtrans.gif">
          <a:extLst>
            <a:ext uri="{FF2B5EF4-FFF2-40B4-BE49-F238E27FC236}">
              <a16:creationId xmlns:a16="http://schemas.microsoft.com/office/drawing/2014/main" id="{F28B7BBA-81B3-445B-82A8-0B5F15A6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2" name="Imagen 22616" descr="http://www.icbf.gov.co/images/pobtrans.gif">
          <a:extLst>
            <a:ext uri="{FF2B5EF4-FFF2-40B4-BE49-F238E27FC236}">
              <a16:creationId xmlns:a16="http://schemas.microsoft.com/office/drawing/2014/main" id="{E324408B-299D-4BA3-8D6D-641739C2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3" name="Imagen 24926" descr="http://www.icbf.gov.co/images/pobtrans.gif">
          <a:extLst>
            <a:ext uri="{FF2B5EF4-FFF2-40B4-BE49-F238E27FC236}">
              <a16:creationId xmlns:a16="http://schemas.microsoft.com/office/drawing/2014/main" id="{3708607B-23AB-4649-94FB-9E36233D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4" name="Imagen 25180" descr="http://www.icbf.gov.co/images/pobtrans.gif">
          <a:extLst>
            <a:ext uri="{FF2B5EF4-FFF2-40B4-BE49-F238E27FC236}">
              <a16:creationId xmlns:a16="http://schemas.microsoft.com/office/drawing/2014/main" id="{D707A1D3-D745-43E7-BB23-A4F2F482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5" name="Imagen 26352" descr="http://www.icbf.gov.co/images/pobtrans.gif">
          <a:extLst>
            <a:ext uri="{FF2B5EF4-FFF2-40B4-BE49-F238E27FC236}">
              <a16:creationId xmlns:a16="http://schemas.microsoft.com/office/drawing/2014/main" id="{EB1D454E-4D3E-40A2-9A77-257B1F149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6" name="Imagen 26386" descr="http://www.icbf.gov.co/images/pobtrans.gif">
          <a:extLst>
            <a:ext uri="{FF2B5EF4-FFF2-40B4-BE49-F238E27FC236}">
              <a16:creationId xmlns:a16="http://schemas.microsoft.com/office/drawing/2014/main" id="{F1F56BDD-A904-46B3-BBF8-6A84E871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7" name="Imagen 26401" descr="http://www.icbf.gov.co/images/pobtrans.gif">
          <a:extLst>
            <a:ext uri="{FF2B5EF4-FFF2-40B4-BE49-F238E27FC236}">
              <a16:creationId xmlns:a16="http://schemas.microsoft.com/office/drawing/2014/main" id="{DF294F05-C239-401C-A08C-6BA56227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8" name="Imagen 26411" descr="http://www.icbf.gov.co/images/pobtrans.gif">
          <a:extLst>
            <a:ext uri="{FF2B5EF4-FFF2-40B4-BE49-F238E27FC236}">
              <a16:creationId xmlns:a16="http://schemas.microsoft.com/office/drawing/2014/main" id="{1EEA99D2-F750-4679-A426-5CD9BB66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09" name="Imagen 26420" descr="http://www.icbf.gov.co/images/pobtrans.gif">
          <a:extLst>
            <a:ext uri="{FF2B5EF4-FFF2-40B4-BE49-F238E27FC236}">
              <a16:creationId xmlns:a16="http://schemas.microsoft.com/office/drawing/2014/main" id="{0770B64D-02FA-441C-B510-F6C41815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0" name="Imagen 26433" descr="http://www.icbf.gov.co/images/pobtrans.gif">
          <a:extLst>
            <a:ext uri="{FF2B5EF4-FFF2-40B4-BE49-F238E27FC236}">
              <a16:creationId xmlns:a16="http://schemas.microsoft.com/office/drawing/2014/main" id="{89388AC6-CB89-49D0-B201-15841429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1" name="Imagen 26468" descr="http://www.icbf.gov.co/images/pobtrans.gif">
          <a:extLst>
            <a:ext uri="{FF2B5EF4-FFF2-40B4-BE49-F238E27FC236}">
              <a16:creationId xmlns:a16="http://schemas.microsoft.com/office/drawing/2014/main" id="{E886C5FF-D6C3-487B-8737-7D13B04A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2" name="Imagen 26473" descr="http://www.icbf.gov.co/images/pobtrans.gif">
          <a:extLst>
            <a:ext uri="{FF2B5EF4-FFF2-40B4-BE49-F238E27FC236}">
              <a16:creationId xmlns:a16="http://schemas.microsoft.com/office/drawing/2014/main" id="{2C0155D1-5EAD-4C7B-8EC7-D40F1790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3" name="Imagen 26476" descr="http://www.icbf.gov.co/images/pobtrans.gif">
          <a:extLst>
            <a:ext uri="{FF2B5EF4-FFF2-40B4-BE49-F238E27FC236}">
              <a16:creationId xmlns:a16="http://schemas.microsoft.com/office/drawing/2014/main" id="{06F570EE-B7FE-431A-B44A-E4C4FEA6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4" name="Imagen 26583" descr="http://www.icbf.gov.co/images/pobtrans.gif">
          <a:extLst>
            <a:ext uri="{FF2B5EF4-FFF2-40B4-BE49-F238E27FC236}">
              <a16:creationId xmlns:a16="http://schemas.microsoft.com/office/drawing/2014/main" id="{25701D3F-1C69-4159-B1A0-EF74A1F9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5" name="Imagen 26594" descr="http://www.icbf.gov.co/images/pobtrans.gif">
          <a:extLst>
            <a:ext uri="{FF2B5EF4-FFF2-40B4-BE49-F238E27FC236}">
              <a16:creationId xmlns:a16="http://schemas.microsoft.com/office/drawing/2014/main" id="{4A0AEC27-1F5B-4AF7-A9B2-B136CEBC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6" name="Imagen 26605" descr="http://www.icbf.gov.co/images/pobtrans.gif">
          <a:extLst>
            <a:ext uri="{FF2B5EF4-FFF2-40B4-BE49-F238E27FC236}">
              <a16:creationId xmlns:a16="http://schemas.microsoft.com/office/drawing/2014/main" id="{8A69A586-D0AE-412C-A43E-92B6594D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7" name="Imagen 26617" descr="http://www.icbf.gov.co/images/pobtrans.gif">
          <a:extLst>
            <a:ext uri="{FF2B5EF4-FFF2-40B4-BE49-F238E27FC236}">
              <a16:creationId xmlns:a16="http://schemas.microsoft.com/office/drawing/2014/main" id="{0A59ECFA-FDD8-4D44-9C63-F68B3DC4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8" name="Imagen 26634" descr="http://www.icbf.gov.co/images/pobtrans.gif">
          <a:extLst>
            <a:ext uri="{FF2B5EF4-FFF2-40B4-BE49-F238E27FC236}">
              <a16:creationId xmlns:a16="http://schemas.microsoft.com/office/drawing/2014/main" id="{7EBBD7BE-B551-4A00-A0F2-7B7D50FF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19" name="Imagen 26666" descr="http://www.icbf.gov.co/images/pobtrans.gif">
          <a:extLst>
            <a:ext uri="{FF2B5EF4-FFF2-40B4-BE49-F238E27FC236}">
              <a16:creationId xmlns:a16="http://schemas.microsoft.com/office/drawing/2014/main" id="{243C8999-A2CD-4178-B2D8-CEA85924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0" name="Imagen 26687" descr="http://www.icbf.gov.co/images/pobtrans.gif">
          <a:extLst>
            <a:ext uri="{FF2B5EF4-FFF2-40B4-BE49-F238E27FC236}">
              <a16:creationId xmlns:a16="http://schemas.microsoft.com/office/drawing/2014/main" id="{59C3901D-E783-47CD-93E9-24B6E757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1" name="Imagen 26713" descr="http://www.icbf.gov.co/images/pobtrans.gif">
          <a:extLst>
            <a:ext uri="{FF2B5EF4-FFF2-40B4-BE49-F238E27FC236}">
              <a16:creationId xmlns:a16="http://schemas.microsoft.com/office/drawing/2014/main" id="{0F0FB9C1-133A-4B98-AB78-B04CF27D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2" name="Imagen 26726" descr="http://www.icbf.gov.co/images/pobtrans.gif">
          <a:extLst>
            <a:ext uri="{FF2B5EF4-FFF2-40B4-BE49-F238E27FC236}">
              <a16:creationId xmlns:a16="http://schemas.microsoft.com/office/drawing/2014/main" id="{7BC6AA16-25F0-462E-979E-F099983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3" name="Imagen 27432" descr="http://www.icbf.gov.co/images/pobtrans.gif">
          <a:extLst>
            <a:ext uri="{FF2B5EF4-FFF2-40B4-BE49-F238E27FC236}">
              <a16:creationId xmlns:a16="http://schemas.microsoft.com/office/drawing/2014/main" id="{85EED22B-337F-41E8-A8AF-88A2F4AC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4" name="Imagen 29931" descr="http://www.icbf.gov.co/images/pobtrans.gif">
          <a:extLst>
            <a:ext uri="{FF2B5EF4-FFF2-40B4-BE49-F238E27FC236}">
              <a16:creationId xmlns:a16="http://schemas.microsoft.com/office/drawing/2014/main" id="{EA07C1C9-8674-48FE-A2B9-DD6C069AE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5" name="Imagen 29941" descr="http://www.icbf.gov.co/images/pobtrans.gif">
          <a:extLst>
            <a:ext uri="{FF2B5EF4-FFF2-40B4-BE49-F238E27FC236}">
              <a16:creationId xmlns:a16="http://schemas.microsoft.com/office/drawing/2014/main" id="{A05240DD-3BE7-4A7E-96D1-1BB284A5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6" name="Imagen 29990" descr="http://www.icbf.gov.co/images/pobtrans.gif">
          <a:extLst>
            <a:ext uri="{FF2B5EF4-FFF2-40B4-BE49-F238E27FC236}">
              <a16:creationId xmlns:a16="http://schemas.microsoft.com/office/drawing/2014/main" id="{2A53AD28-7431-45C0-9B44-AA0254E9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7" name="Imagen 30000" descr="http://www.icbf.gov.co/images/pobtrans.gif">
          <a:extLst>
            <a:ext uri="{FF2B5EF4-FFF2-40B4-BE49-F238E27FC236}">
              <a16:creationId xmlns:a16="http://schemas.microsoft.com/office/drawing/2014/main" id="{24C37798-61BB-4F56-8FBD-D86C4645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8" name="Imagen 30062" descr="http://www.icbf.gov.co/images/pobtrans.gif">
          <a:extLst>
            <a:ext uri="{FF2B5EF4-FFF2-40B4-BE49-F238E27FC236}">
              <a16:creationId xmlns:a16="http://schemas.microsoft.com/office/drawing/2014/main" id="{15313025-8E67-48A2-BD32-C003DFE5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29" name="Imagen 30457" descr="http://www.icbf.gov.co/images/pobtrans.gif">
          <a:extLst>
            <a:ext uri="{FF2B5EF4-FFF2-40B4-BE49-F238E27FC236}">
              <a16:creationId xmlns:a16="http://schemas.microsoft.com/office/drawing/2014/main" id="{022B6AE7-6918-462F-A52B-1DF83E0F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0" name="Imagen 30467" descr="http://www.icbf.gov.co/images/pobtrans.gif">
          <a:extLst>
            <a:ext uri="{FF2B5EF4-FFF2-40B4-BE49-F238E27FC236}">
              <a16:creationId xmlns:a16="http://schemas.microsoft.com/office/drawing/2014/main" id="{7B15AB1A-4249-4B25-B4F4-0CBE486A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1" name="Imagen 30991" descr="http://www.icbf.gov.co/images/pobtrans.gif">
          <a:extLst>
            <a:ext uri="{FF2B5EF4-FFF2-40B4-BE49-F238E27FC236}">
              <a16:creationId xmlns:a16="http://schemas.microsoft.com/office/drawing/2014/main" id="{24B7708F-D721-44BD-9F2B-258596E4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2" name="Imagen 31612" descr="http://www.icbf.gov.co/images/pobtrans.gif">
          <a:extLst>
            <a:ext uri="{FF2B5EF4-FFF2-40B4-BE49-F238E27FC236}">
              <a16:creationId xmlns:a16="http://schemas.microsoft.com/office/drawing/2014/main" id="{D41F8F97-4BEC-4F00-8B17-B160FF4D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3" name="Imagen 31624" descr="http://www.icbf.gov.co/images/pobtrans.gif">
          <a:extLst>
            <a:ext uri="{FF2B5EF4-FFF2-40B4-BE49-F238E27FC236}">
              <a16:creationId xmlns:a16="http://schemas.microsoft.com/office/drawing/2014/main" id="{8A9C2BAE-6387-40BC-815B-E41D9353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4" name="Imagen 32047" descr="http://www.icbf.gov.co/images/pobtrans.gif">
          <a:extLst>
            <a:ext uri="{FF2B5EF4-FFF2-40B4-BE49-F238E27FC236}">
              <a16:creationId xmlns:a16="http://schemas.microsoft.com/office/drawing/2014/main" id="{1239A342-D2C3-493F-A96E-4B951C2C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5" name="Imagen 32272" descr="http://www.icbf.gov.co/images/pobtrans.gif">
          <a:extLst>
            <a:ext uri="{FF2B5EF4-FFF2-40B4-BE49-F238E27FC236}">
              <a16:creationId xmlns:a16="http://schemas.microsoft.com/office/drawing/2014/main" id="{997E97F9-1F96-4D6C-8387-F4267007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6" name="Imagen 32612" descr="http://www.icbf.gov.co/images/pobtrans.gif">
          <a:extLst>
            <a:ext uri="{FF2B5EF4-FFF2-40B4-BE49-F238E27FC236}">
              <a16:creationId xmlns:a16="http://schemas.microsoft.com/office/drawing/2014/main" id="{0D4B23C2-D9AA-40E3-AAF3-772D1AB0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7" name="Imagen 32881" descr="http://www.icbf.gov.co/images/pobtrans.gif">
          <a:extLst>
            <a:ext uri="{FF2B5EF4-FFF2-40B4-BE49-F238E27FC236}">
              <a16:creationId xmlns:a16="http://schemas.microsoft.com/office/drawing/2014/main" id="{5F915212-7550-4FE9-95B3-8595C94C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8" name="Imagen 34363" descr="http://www.icbf.gov.co/images/pobtrans.gif">
          <a:extLst>
            <a:ext uri="{FF2B5EF4-FFF2-40B4-BE49-F238E27FC236}">
              <a16:creationId xmlns:a16="http://schemas.microsoft.com/office/drawing/2014/main" id="{280DBF52-8AA5-4111-8264-99F361B7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39" name="Imagen 34367" descr="http://www.icbf.gov.co/images/pobtrans.gif">
          <a:extLst>
            <a:ext uri="{FF2B5EF4-FFF2-40B4-BE49-F238E27FC236}">
              <a16:creationId xmlns:a16="http://schemas.microsoft.com/office/drawing/2014/main" id="{DE03A49D-63FF-47EA-8D41-0DDEF3B7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0" name="Imagen 34608" descr="http://www.icbf.gov.co/images/pobtrans.gif">
          <a:extLst>
            <a:ext uri="{FF2B5EF4-FFF2-40B4-BE49-F238E27FC236}">
              <a16:creationId xmlns:a16="http://schemas.microsoft.com/office/drawing/2014/main" id="{A934117A-444A-412D-BDFD-EB3FCD15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1" name="Imagen 35048" descr="http://www.icbf.gov.co/images/pobtrans.gif">
          <a:extLst>
            <a:ext uri="{FF2B5EF4-FFF2-40B4-BE49-F238E27FC236}">
              <a16:creationId xmlns:a16="http://schemas.microsoft.com/office/drawing/2014/main" id="{36B86BB5-B02E-4A1E-ACC4-FD2AAF7E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2" name="Imagen 35978" descr="http://www.icbf.gov.co/images/pobtrans.gif">
          <a:extLst>
            <a:ext uri="{FF2B5EF4-FFF2-40B4-BE49-F238E27FC236}">
              <a16:creationId xmlns:a16="http://schemas.microsoft.com/office/drawing/2014/main" id="{DB4625B3-0A12-4D10-87B1-6007C36B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3" name="Imagen 36001" descr="http://www.icbf.gov.co/images/pobtrans.gif">
          <a:extLst>
            <a:ext uri="{FF2B5EF4-FFF2-40B4-BE49-F238E27FC236}">
              <a16:creationId xmlns:a16="http://schemas.microsoft.com/office/drawing/2014/main" id="{A120BA5B-D9BD-4573-980E-D8BE309B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4" name="Imagen 36006" descr="http://www.icbf.gov.co/images/pobtrans.gif">
          <a:extLst>
            <a:ext uri="{FF2B5EF4-FFF2-40B4-BE49-F238E27FC236}">
              <a16:creationId xmlns:a16="http://schemas.microsoft.com/office/drawing/2014/main" id="{3C725DBF-357A-499C-881B-F112535F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5" name="Imagen 36010" descr="http://www.icbf.gov.co/images/pobtrans.gif">
          <a:extLst>
            <a:ext uri="{FF2B5EF4-FFF2-40B4-BE49-F238E27FC236}">
              <a16:creationId xmlns:a16="http://schemas.microsoft.com/office/drawing/2014/main" id="{79EE5693-BF05-4792-B370-675FC22EA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6" name="Imagen 36018" descr="http://www.icbf.gov.co/images/pobtrans.gif">
          <a:extLst>
            <a:ext uri="{FF2B5EF4-FFF2-40B4-BE49-F238E27FC236}">
              <a16:creationId xmlns:a16="http://schemas.microsoft.com/office/drawing/2014/main" id="{44099433-E912-474B-BF87-9D7F1879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68102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9525</xdr:colOff>
      <xdr:row>66</xdr:row>
      <xdr:rowOff>114300</xdr:rowOff>
    </xdr:to>
    <xdr:pic>
      <xdr:nvPicPr>
        <xdr:cNvPr id="147" name="Imagen 36027" descr="http://www.icbf.gov.co/images/pobtrans.gif">
          <a:extLst>
            <a:ext uri="{FF2B5EF4-FFF2-40B4-BE49-F238E27FC236}">
              <a16:creationId xmlns:a16="http://schemas.microsoft.com/office/drawing/2014/main" id="{DEF93E3C-BA65-4D95-B66B-6E688EF9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870007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48" name="Imagen 147" descr="http://www.icbf.gov.co/images/pobtrans.gif">
          <a:extLst>
            <a:ext uri="{FF2B5EF4-FFF2-40B4-BE49-F238E27FC236}">
              <a16:creationId xmlns:a16="http://schemas.microsoft.com/office/drawing/2014/main" id="{B03CA752-2916-44D4-95C6-2889EF29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49" name="Imagen 148" descr="http://www.icbf.gov.co/images/pobtrans.gif">
          <a:extLst>
            <a:ext uri="{FF2B5EF4-FFF2-40B4-BE49-F238E27FC236}">
              <a16:creationId xmlns:a16="http://schemas.microsoft.com/office/drawing/2014/main" id="{92CA756D-FABE-4E87-B0CE-DEA54938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0" name="Imagen 149" descr="http://www.icbf.gov.co/images/pobtrans.gif">
          <a:extLst>
            <a:ext uri="{FF2B5EF4-FFF2-40B4-BE49-F238E27FC236}">
              <a16:creationId xmlns:a16="http://schemas.microsoft.com/office/drawing/2014/main" id="{00DF99F1-F268-4D99-A9DA-A37140AB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1" name="Imagen 150" descr="http://www.icbf.gov.co/images/pobtrans.gif">
          <a:extLst>
            <a:ext uri="{FF2B5EF4-FFF2-40B4-BE49-F238E27FC236}">
              <a16:creationId xmlns:a16="http://schemas.microsoft.com/office/drawing/2014/main" id="{0C6423E0-7F59-4AE9-B0E7-9D523A7EB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2" name="Imagen 151" descr="http://www.icbf.gov.co/images/pobtrans.gif">
          <a:extLst>
            <a:ext uri="{FF2B5EF4-FFF2-40B4-BE49-F238E27FC236}">
              <a16:creationId xmlns:a16="http://schemas.microsoft.com/office/drawing/2014/main" id="{9050F893-993A-4E57-8A3C-AFC58AE9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3" name="Imagen 152" descr="http://www.icbf.gov.co/images/pobtrans.gif">
          <a:extLst>
            <a:ext uri="{FF2B5EF4-FFF2-40B4-BE49-F238E27FC236}">
              <a16:creationId xmlns:a16="http://schemas.microsoft.com/office/drawing/2014/main" id="{0F22C52C-EE3F-4F5D-A6AC-252B3CA5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4" name="Imagen 153" descr="http://www.icbf.gov.co/images/pobtrans.gif">
          <a:extLst>
            <a:ext uri="{FF2B5EF4-FFF2-40B4-BE49-F238E27FC236}">
              <a16:creationId xmlns:a16="http://schemas.microsoft.com/office/drawing/2014/main" id="{5EF7B781-FD5B-4F48-9362-C975A752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5" name="Imagen 154" descr="http://www.icbf.gov.co/images/pobtrans.gif">
          <a:extLst>
            <a:ext uri="{FF2B5EF4-FFF2-40B4-BE49-F238E27FC236}">
              <a16:creationId xmlns:a16="http://schemas.microsoft.com/office/drawing/2014/main" id="{1BFF2111-B8C9-4FE6-A4DD-5D177C19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6" name="Imagen 155" descr="http://www.icbf.gov.co/images/pobtrans.gif">
          <a:extLst>
            <a:ext uri="{FF2B5EF4-FFF2-40B4-BE49-F238E27FC236}">
              <a16:creationId xmlns:a16="http://schemas.microsoft.com/office/drawing/2014/main" id="{0E655A7A-14D3-46F3-9B54-C880074B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7" name="Imagen 156" descr="http://www.icbf.gov.co/images/pobtrans.gif">
          <a:extLst>
            <a:ext uri="{FF2B5EF4-FFF2-40B4-BE49-F238E27FC236}">
              <a16:creationId xmlns:a16="http://schemas.microsoft.com/office/drawing/2014/main" id="{28BCF8A9-5A20-4603-B7F0-35D6EB06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8" name="Imagen 157" descr="http://www.icbf.gov.co/images/pobtrans.gif">
          <a:extLst>
            <a:ext uri="{FF2B5EF4-FFF2-40B4-BE49-F238E27FC236}">
              <a16:creationId xmlns:a16="http://schemas.microsoft.com/office/drawing/2014/main" id="{C2A1B39C-4ADC-42FA-A56B-2B206A7F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59" name="Imagen 158" descr="http://www.icbf.gov.co/images/pobtrans.gif">
          <a:extLst>
            <a:ext uri="{FF2B5EF4-FFF2-40B4-BE49-F238E27FC236}">
              <a16:creationId xmlns:a16="http://schemas.microsoft.com/office/drawing/2014/main" id="{2FE5CAEB-9E5B-4175-B282-0CB05B28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0" name="Imagen 159" descr="http://www.icbf.gov.co/images/pobtrans.gif">
          <a:extLst>
            <a:ext uri="{FF2B5EF4-FFF2-40B4-BE49-F238E27FC236}">
              <a16:creationId xmlns:a16="http://schemas.microsoft.com/office/drawing/2014/main" id="{43FEBA56-1EE1-4AA0-94EA-50DCFCF5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1" name="Imagen 160" descr="http://www.icbf.gov.co/images/pobtrans.gif">
          <a:extLst>
            <a:ext uri="{FF2B5EF4-FFF2-40B4-BE49-F238E27FC236}">
              <a16:creationId xmlns:a16="http://schemas.microsoft.com/office/drawing/2014/main" id="{EA787A93-A1DD-4198-ADD3-844D2628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2" name="Imagen 161" descr="http://www.icbf.gov.co/images/pobtrans.gif">
          <a:extLst>
            <a:ext uri="{FF2B5EF4-FFF2-40B4-BE49-F238E27FC236}">
              <a16:creationId xmlns:a16="http://schemas.microsoft.com/office/drawing/2014/main" id="{F1D2BFD7-E659-4DD0-A508-65B1BDC9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3" name="Imagen 162" descr="http://www.icbf.gov.co/images/pobtrans.gif">
          <a:extLst>
            <a:ext uri="{FF2B5EF4-FFF2-40B4-BE49-F238E27FC236}">
              <a16:creationId xmlns:a16="http://schemas.microsoft.com/office/drawing/2014/main" id="{CA4E4A69-6212-43B1-B1E2-7DB31EF7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4" name="Imagen 163" descr="http://www.icbf.gov.co/images/pobtrans.gif">
          <a:extLst>
            <a:ext uri="{FF2B5EF4-FFF2-40B4-BE49-F238E27FC236}">
              <a16:creationId xmlns:a16="http://schemas.microsoft.com/office/drawing/2014/main" id="{D7DE6725-0CE3-40E2-ACA5-4A70F32A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5" name="Imagen 164" descr="http://www.icbf.gov.co/images/pobtrans.gif">
          <a:extLst>
            <a:ext uri="{FF2B5EF4-FFF2-40B4-BE49-F238E27FC236}">
              <a16:creationId xmlns:a16="http://schemas.microsoft.com/office/drawing/2014/main" id="{139CCA60-2FFC-4901-87B6-DFB285FC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6" name="Imagen 165" descr="http://www.icbf.gov.co/images/pobtrans.gif">
          <a:extLst>
            <a:ext uri="{FF2B5EF4-FFF2-40B4-BE49-F238E27FC236}">
              <a16:creationId xmlns:a16="http://schemas.microsoft.com/office/drawing/2014/main" id="{387071E5-B28D-4AEE-A766-B097CCB9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7" name="Imagen 166" descr="http://www.icbf.gov.co/images/pobtrans.gif">
          <a:extLst>
            <a:ext uri="{FF2B5EF4-FFF2-40B4-BE49-F238E27FC236}">
              <a16:creationId xmlns:a16="http://schemas.microsoft.com/office/drawing/2014/main" id="{88E654A2-4122-4C92-BFF5-79F448EC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8" name="Imagen 167" descr="http://www.icbf.gov.co/images/pobtrans.gif">
          <a:extLst>
            <a:ext uri="{FF2B5EF4-FFF2-40B4-BE49-F238E27FC236}">
              <a16:creationId xmlns:a16="http://schemas.microsoft.com/office/drawing/2014/main" id="{51FA0F13-A5A6-4618-A4C0-4D9812F0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69" name="Imagen 168" descr="http://www.icbf.gov.co/images/pobtrans.gif">
          <a:extLst>
            <a:ext uri="{FF2B5EF4-FFF2-40B4-BE49-F238E27FC236}">
              <a16:creationId xmlns:a16="http://schemas.microsoft.com/office/drawing/2014/main" id="{C9A943AC-8DAC-42FF-ACA8-92DEE71A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0" name="Imagen 169" descr="http://www.icbf.gov.co/images/pobtrans.gif">
          <a:extLst>
            <a:ext uri="{FF2B5EF4-FFF2-40B4-BE49-F238E27FC236}">
              <a16:creationId xmlns:a16="http://schemas.microsoft.com/office/drawing/2014/main" id="{0CF7BE31-193E-4793-A84C-E78BEEC9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1" name="Imagen 170" descr="http://www.icbf.gov.co/images/pobtrans.gif">
          <a:extLst>
            <a:ext uri="{FF2B5EF4-FFF2-40B4-BE49-F238E27FC236}">
              <a16:creationId xmlns:a16="http://schemas.microsoft.com/office/drawing/2014/main" id="{73AC00C4-376F-41BE-9876-6B64B02B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2" name="Imagen 171" descr="http://www.icbf.gov.co/images/pobtrans.gif">
          <a:extLst>
            <a:ext uri="{FF2B5EF4-FFF2-40B4-BE49-F238E27FC236}">
              <a16:creationId xmlns:a16="http://schemas.microsoft.com/office/drawing/2014/main" id="{98D61EDD-66CB-4BC2-8D10-258490B4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3" name="Imagen 172" descr="http://www.icbf.gov.co/images/pobtrans.gif">
          <a:extLst>
            <a:ext uri="{FF2B5EF4-FFF2-40B4-BE49-F238E27FC236}">
              <a16:creationId xmlns:a16="http://schemas.microsoft.com/office/drawing/2014/main" id="{515CA845-350E-4047-9982-C38E1311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4" name="Imagen 173" descr="http://www.icbf.gov.co/images/pobtrans.gif">
          <a:extLst>
            <a:ext uri="{FF2B5EF4-FFF2-40B4-BE49-F238E27FC236}">
              <a16:creationId xmlns:a16="http://schemas.microsoft.com/office/drawing/2014/main" id="{AD97284F-E963-482B-AF31-67A8E573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5" name="Imagen 174" descr="http://www.icbf.gov.co/images/pobtrans.gif">
          <a:extLst>
            <a:ext uri="{FF2B5EF4-FFF2-40B4-BE49-F238E27FC236}">
              <a16:creationId xmlns:a16="http://schemas.microsoft.com/office/drawing/2014/main" id="{6DBAE2E0-B54F-498C-9439-B9CF6FAF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6" name="Imagen 175" descr="http://www.icbf.gov.co/images/pobtrans.gif">
          <a:extLst>
            <a:ext uri="{FF2B5EF4-FFF2-40B4-BE49-F238E27FC236}">
              <a16:creationId xmlns:a16="http://schemas.microsoft.com/office/drawing/2014/main" id="{D3A419C9-5844-4184-A87D-5D63A1E4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7" name="Imagen 176" descr="http://www.icbf.gov.co/images/pobtrans.gif">
          <a:extLst>
            <a:ext uri="{FF2B5EF4-FFF2-40B4-BE49-F238E27FC236}">
              <a16:creationId xmlns:a16="http://schemas.microsoft.com/office/drawing/2014/main" id="{1F1E5415-7A76-451C-9002-6B9AF3F7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8" name="Imagen 177" descr="http://www.icbf.gov.co/images/pobtrans.gif">
          <a:extLst>
            <a:ext uri="{FF2B5EF4-FFF2-40B4-BE49-F238E27FC236}">
              <a16:creationId xmlns:a16="http://schemas.microsoft.com/office/drawing/2014/main" id="{EC843806-19B6-450E-A40E-7AD0C4AB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79" name="Imagen 178" descr="http://www.icbf.gov.co/images/pobtrans.gif">
          <a:extLst>
            <a:ext uri="{FF2B5EF4-FFF2-40B4-BE49-F238E27FC236}">
              <a16:creationId xmlns:a16="http://schemas.microsoft.com/office/drawing/2014/main" id="{F6F44A15-FB02-472D-9185-5CA64916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0" name="Imagen 179" descr="http://www.icbf.gov.co/images/pobtrans.gif">
          <a:extLst>
            <a:ext uri="{FF2B5EF4-FFF2-40B4-BE49-F238E27FC236}">
              <a16:creationId xmlns:a16="http://schemas.microsoft.com/office/drawing/2014/main" id="{68C39E89-3467-4019-93CB-70DBDDFD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1" name="Imagen 180" descr="http://www.icbf.gov.co/images/pobtrans.gif">
          <a:extLst>
            <a:ext uri="{FF2B5EF4-FFF2-40B4-BE49-F238E27FC236}">
              <a16:creationId xmlns:a16="http://schemas.microsoft.com/office/drawing/2014/main" id="{12FAB985-CD12-4DD9-A643-87709D25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2" name="Imagen 181" descr="http://www.icbf.gov.co/images/pobtrans.gif">
          <a:extLst>
            <a:ext uri="{FF2B5EF4-FFF2-40B4-BE49-F238E27FC236}">
              <a16:creationId xmlns:a16="http://schemas.microsoft.com/office/drawing/2014/main" id="{C337650E-2E20-4E1F-BD2F-7ACE6AE0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3" name="Imagen 182" descr="http://www.icbf.gov.co/images/pobtrans.gif">
          <a:extLst>
            <a:ext uri="{FF2B5EF4-FFF2-40B4-BE49-F238E27FC236}">
              <a16:creationId xmlns:a16="http://schemas.microsoft.com/office/drawing/2014/main" id="{3B81A214-736D-4306-81EC-21D88C6F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4" name="Imagen 183" descr="http://www.icbf.gov.co/images/pobtrans.gif">
          <a:extLst>
            <a:ext uri="{FF2B5EF4-FFF2-40B4-BE49-F238E27FC236}">
              <a16:creationId xmlns:a16="http://schemas.microsoft.com/office/drawing/2014/main" id="{DF5A39A3-BAEA-4F1C-9645-CE99D7BF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5" name="Imagen 184" descr="http://www.icbf.gov.co/images/pobtrans.gif">
          <a:extLst>
            <a:ext uri="{FF2B5EF4-FFF2-40B4-BE49-F238E27FC236}">
              <a16:creationId xmlns:a16="http://schemas.microsoft.com/office/drawing/2014/main" id="{29BF2D93-CBF3-4078-BD3F-E5BBB362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6" name="Imagen 185" descr="http://www.icbf.gov.co/images/pobtrans.gif">
          <a:extLst>
            <a:ext uri="{FF2B5EF4-FFF2-40B4-BE49-F238E27FC236}">
              <a16:creationId xmlns:a16="http://schemas.microsoft.com/office/drawing/2014/main" id="{BFF760B4-8450-4753-A3FF-A68C7108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7" name="Imagen 186" descr="http://www.icbf.gov.co/images/pobtrans.gif">
          <a:extLst>
            <a:ext uri="{FF2B5EF4-FFF2-40B4-BE49-F238E27FC236}">
              <a16:creationId xmlns:a16="http://schemas.microsoft.com/office/drawing/2014/main" id="{19C5C278-FC13-4E97-8469-12D76A343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8" name="Imagen 187" descr="http://www.icbf.gov.co/images/pobtrans.gif">
          <a:extLst>
            <a:ext uri="{FF2B5EF4-FFF2-40B4-BE49-F238E27FC236}">
              <a16:creationId xmlns:a16="http://schemas.microsoft.com/office/drawing/2014/main" id="{729A08BA-6FFE-4EBA-97BA-983F92C1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89" name="Imagen 188" descr="http://www.icbf.gov.co/images/pobtrans.gif">
          <a:extLst>
            <a:ext uri="{FF2B5EF4-FFF2-40B4-BE49-F238E27FC236}">
              <a16:creationId xmlns:a16="http://schemas.microsoft.com/office/drawing/2014/main" id="{729E08AB-2A05-4366-A485-1A45A05B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0" name="Imagen 189" descr="http://www.icbf.gov.co/images/pobtrans.gif">
          <a:extLst>
            <a:ext uri="{FF2B5EF4-FFF2-40B4-BE49-F238E27FC236}">
              <a16:creationId xmlns:a16="http://schemas.microsoft.com/office/drawing/2014/main" id="{E7D8E1A3-E163-4819-927E-63261CE8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1" name="Imagen 190" descr="http://www.icbf.gov.co/images/pobtrans.gif">
          <a:extLst>
            <a:ext uri="{FF2B5EF4-FFF2-40B4-BE49-F238E27FC236}">
              <a16:creationId xmlns:a16="http://schemas.microsoft.com/office/drawing/2014/main" id="{B8B05620-E4BC-4208-9A69-155DEC7C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2" name="Imagen 191" descr="http://www.icbf.gov.co/images/pobtrans.gif">
          <a:extLst>
            <a:ext uri="{FF2B5EF4-FFF2-40B4-BE49-F238E27FC236}">
              <a16:creationId xmlns:a16="http://schemas.microsoft.com/office/drawing/2014/main" id="{0B21570A-9507-4D3A-9F0C-46A25BE3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3" name="Imagen 192" descr="http://www.icbf.gov.co/images/pobtrans.gif">
          <a:extLst>
            <a:ext uri="{FF2B5EF4-FFF2-40B4-BE49-F238E27FC236}">
              <a16:creationId xmlns:a16="http://schemas.microsoft.com/office/drawing/2014/main" id="{8FA45276-F0D2-4D26-B52E-1A96FA61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4" name="Imagen 193" descr="http://www.icbf.gov.co/images/pobtrans.gif">
          <a:extLst>
            <a:ext uri="{FF2B5EF4-FFF2-40B4-BE49-F238E27FC236}">
              <a16:creationId xmlns:a16="http://schemas.microsoft.com/office/drawing/2014/main" id="{7C0669D3-B33F-4CD9-B6A5-7178EB0E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5" name="Imagen 194" descr="http://www.icbf.gov.co/images/pobtrans.gif">
          <a:extLst>
            <a:ext uri="{FF2B5EF4-FFF2-40B4-BE49-F238E27FC236}">
              <a16:creationId xmlns:a16="http://schemas.microsoft.com/office/drawing/2014/main" id="{B6183EDB-2B3A-42A2-B5B8-1E4C0056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6" name="Imagen 195" descr="http://www.icbf.gov.co/images/pobtrans.gif">
          <a:extLst>
            <a:ext uri="{FF2B5EF4-FFF2-40B4-BE49-F238E27FC236}">
              <a16:creationId xmlns:a16="http://schemas.microsoft.com/office/drawing/2014/main" id="{2075C659-B4B6-4F3F-A9E7-CD2AD63B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7" name="Imagen 196" descr="http://www.icbf.gov.co/images/pobtrans.gif">
          <a:extLst>
            <a:ext uri="{FF2B5EF4-FFF2-40B4-BE49-F238E27FC236}">
              <a16:creationId xmlns:a16="http://schemas.microsoft.com/office/drawing/2014/main" id="{CE7D37DC-1A2E-43AD-8D45-1D09CC6C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8" name="Imagen 197" descr="http://www.icbf.gov.co/images/pobtrans.gif">
          <a:extLst>
            <a:ext uri="{FF2B5EF4-FFF2-40B4-BE49-F238E27FC236}">
              <a16:creationId xmlns:a16="http://schemas.microsoft.com/office/drawing/2014/main" id="{0FEDD603-2AEA-462A-B262-632F930C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199" name="Imagen 198" descr="http://www.icbf.gov.co/images/pobtrans.gif">
          <a:extLst>
            <a:ext uri="{FF2B5EF4-FFF2-40B4-BE49-F238E27FC236}">
              <a16:creationId xmlns:a16="http://schemas.microsoft.com/office/drawing/2014/main" id="{7CDAC39B-AF8B-4FFB-A788-622FC13F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0" name="Imagen 199" descr="http://www.icbf.gov.co/images/pobtrans.gif">
          <a:extLst>
            <a:ext uri="{FF2B5EF4-FFF2-40B4-BE49-F238E27FC236}">
              <a16:creationId xmlns:a16="http://schemas.microsoft.com/office/drawing/2014/main" id="{4E85BDE2-8221-4422-B828-CE7E91EE5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1" name="Imagen 200" descr="http://www.icbf.gov.co/images/pobtrans.gif">
          <a:extLst>
            <a:ext uri="{FF2B5EF4-FFF2-40B4-BE49-F238E27FC236}">
              <a16:creationId xmlns:a16="http://schemas.microsoft.com/office/drawing/2014/main" id="{DED37913-64FC-4AF7-AC67-4399CEA9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2" name="Imagen 201" descr="http://www.icbf.gov.co/images/pobtrans.gif">
          <a:extLst>
            <a:ext uri="{FF2B5EF4-FFF2-40B4-BE49-F238E27FC236}">
              <a16:creationId xmlns:a16="http://schemas.microsoft.com/office/drawing/2014/main" id="{AAD7D6DA-78CB-47E8-9752-BBE55A0E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3" name="Imagen 202" descr="http://www.icbf.gov.co/images/pobtrans.gif">
          <a:extLst>
            <a:ext uri="{FF2B5EF4-FFF2-40B4-BE49-F238E27FC236}">
              <a16:creationId xmlns:a16="http://schemas.microsoft.com/office/drawing/2014/main" id="{A390EA65-945B-4F30-8EBD-1D4D0BE53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4" name="Imagen 203" descr="http://www.icbf.gov.co/images/pobtrans.gif">
          <a:extLst>
            <a:ext uri="{FF2B5EF4-FFF2-40B4-BE49-F238E27FC236}">
              <a16:creationId xmlns:a16="http://schemas.microsoft.com/office/drawing/2014/main" id="{B50FF665-12B5-4052-9950-2585E8D7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5" name="Imagen 204" descr="http://www.icbf.gov.co/images/pobtrans.gif">
          <a:extLst>
            <a:ext uri="{FF2B5EF4-FFF2-40B4-BE49-F238E27FC236}">
              <a16:creationId xmlns:a16="http://schemas.microsoft.com/office/drawing/2014/main" id="{A6B7BEC1-8A2B-4CA7-B5BC-9CF3A1FB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6" name="Imagen 205" descr="http://www.icbf.gov.co/images/pobtrans.gif">
          <a:extLst>
            <a:ext uri="{FF2B5EF4-FFF2-40B4-BE49-F238E27FC236}">
              <a16:creationId xmlns:a16="http://schemas.microsoft.com/office/drawing/2014/main" id="{DD26783A-4B1E-42D0-ABAF-5C529F33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7" name="Imagen 206" descr="http://www.icbf.gov.co/images/pobtrans.gif">
          <a:extLst>
            <a:ext uri="{FF2B5EF4-FFF2-40B4-BE49-F238E27FC236}">
              <a16:creationId xmlns:a16="http://schemas.microsoft.com/office/drawing/2014/main" id="{FF0822B8-EA81-4E32-A938-8B9D0F3E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8" name="Imagen 207" descr="http://www.icbf.gov.co/images/pobtrans.gif">
          <a:extLst>
            <a:ext uri="{FF2B5EF4-FFF2-40B4-BE49-F238E27FC236}">
              <a16:creationId xmlns:a16="http://schemas.microsoft.com/office/drawing/2014/main" id="{01D51886-3BD5-4FE3-A579-C37EA6F9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09" name="Imagen 208" descr="http://www.icbf.gov.co/images/pobtrans.gif">
          <a:extLst>
            <a:ext uri="{FF2B5EF4-FFF2-40B4-BE49-F238E27FC236}">
              <a16:creationId xmlns:a16="http://schemas.microsoft.com/office/drawing/2014/main" id="{83388A8D-8501-4F87-8C3F-5AF35E0C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0" name="Imagen 209" descr="http://www.icbf.gov.co/images/pobtrans.gif">
          <a:extLst>
            <a:ext uri="{FF2B5EF4-FFF2-40B4-BE49-F238E27FC236}">
              <a16:creationId xmlns:a16="http://schemas.microsoft.com/office/drawing/2014/main" id="{A884B735-E3A3-4681-8491-0025631E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1" name="Imagen 210" descr="http://www.icbf.gov.co/images/pobtrans.gif">
          <a:extLst>
            <a:ext uri="{FF2B5EF4-FFF2-40B4-BE49-F238E27FC236}">
              <a16:creationId xmlns:a16="http://schemas.microsoft.com/office/drawing/2014/main" id="{10ADB5E7-140D-4C40-98F0-B9509168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2" name="Imagen 211" descr="http://www.icbf.gov.co/images/pobtrans.gif">
          <a:extLst>
            <a:ext uri="{FF2B5EF4-FFF2-40B4-BE49-F238E27FC236}">
              <a16:creationId xmlns:a16="http://schemas.microsoft.com/office/drawing/2014/main" id="{165458D7-F1F1-4AAD-98F9-AD48376B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3" name="Imagen 212" descr="http://www.icbf.gov.co/images/pobtrans.gif">
          <a:extLst>
            <a:ext uri="{FF2B5EF4-FFF2-40B4-BE49-F238E27FC236}">
              <a16:creationId xmlns:a16="http://schemas.microsoft.com/office/drawing/2014/main" id="{832444B0-C94F-45AB-9247-CFB5FCD8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4" name="Imagen 213" descr="http://www.icbf.gov.co/images/pobtrans.gif">
          <a:extLst>
            <a:ext uri="{FF2B5EF4-FFF2-40B4-BE49-F238E27FC236}">
              <a16:creationId xmlns:a16="http://schemas.microsoft.com/office/drawing/2014/main" id="{F507D614-C0D6-40DD-A489-E3992B4F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5" name="Imagen 214" descr="http://www.icbf.gov.co/images/pobtrans.gif">
          <a:extLst>
            <a:ext uri="{FF2B5EF4-FFF2-40B4-BE49-F238E27FC236}">
              <a16:creationId xmlns:a16="http://schemas.microsoft.com/office/drawing/2014/main" id="{C88F3556-F881-4387-BDD2-FEA4D771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6" name="Imagen 215" descr="http://www.icbf.gov.co/images/pobtrans.gif">
          <a:extLst>
            <a:ext uri="{FF2B5EF4-FFF2-40B4-BE49-F238E27FC236}">
              <a16:creationId xmlns:a16="http://schemas.microsoft.com/office/drawing/2014/main" id="{61978F0E-3AEC-44A6-AA81-A5672773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7" name="Imagen 216" descr="http://www.icbf.gov.co/images/pobtrans.gif">
          <a:extLst>
            <a:ext uri="{FF2B5EF4-FFF2-40B4-BE49-F238E27FC236}">
              <a16:creationId xmlns:a16="http://schemas.microsoft.com/office/drawing/2014/main" id="{CC858228-1B84-4173-9C96-CC0C6547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8" name="Imagen 217" descr="http://www.icbf.gov.co/images/pobtrans.gif">
          <a:extLst>
            <a:ext uri="{FF2B5EF4-FFF2-40B4-BE49-F238E27FC236}">
              <a16:creationId xmlns:a16="http://schemas.microsoft.com/office/drawing/2014/main" id="{980D6C5F-145D-4ECD-B699-697DE21E6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19" name="Imagen 218" descr="http://www.icbf.gov.co/images/pobtrans.gif">
          <a:extLst>
            <a:ext uri="{FF2B5EF4-FFF2-40B4-BE49-F238E27FC236}">
              <a16:creationId xmlns:a16="http://schemas.microsoft.com/office/drawing/2014/main" id="{3F971865-88B7-414E-9711-50E9CD79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0" name="Imagen 219" descr="http://www.icbf.gov.co/images/pobtrans.gif">
          <a:extLst>
            <a:ext uri="{FF2B5EF4-FFF2-40B4-BE49-F238E27FC236}">
              <a16:creationId xmlns:a16="http://schemas.microsoft.com/office/drawing/2014/main" id="{68B695B2-2A45-4C45-847E-D2903552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1" name="Imagen 220" descr="http://www.icbf.gov.co/images/pobtrans.gif">
          <a:extLst>
            <a:ext uri="{FF2B5EF4-FFF2-40B4-BE49-F238E27FC236}">
              <a16:creationId xmlns:a16="http://schemas.microsoft.com/office/drawing/2014/main" id="{2D3EE1AA-E0C8-4880-9FE6-3D6CFFFA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2" name="Imagen 221" descr="http://www.icbf.gov.co/images/pobtrans.gif">
          <a:extLst>
            <a:ext uri="{FF2B5EF4-FFF2-40B4-BE49-F238E27FC236}">
              <a16:creationId xmlns:a16="http://schemas.microsoft.com/office/drawing/2014/main" id="{57D18454-53B6-46FA-B916-B6A12B4D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3" name="Imagen 222" descr="http://www.icbf.gov.co/images/pobtrans.gif">
          <a:extLst>
            <a:ext uri="{FF2B5EF4-FFF2-40B4-BE49-F238E27FC236}">
              <a16:creationId xmlns:a16="http://schemas.microsoft.com/office/drawing/2014/main" id="{5F680B5D-F2AA-4F6C-A0CF-90F5873D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4" name="Imagen 223" descr="http://www.icbf.gov.co/images/pobtrans.gif">
          <a:extLst>
            <a:ext uri="{FF2B5EF4-FFF2-40B4-BE49-F238E27FC236}">
              <a16:creationId xmlns:a16="http://schemas.microsoft.com/office/drawing/2014/main" id="{52255685-7B0F-4D4A-A035-52088661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5" name="Imagen 224" descr="http://www.icbf.gov.co/images/pobtrans.gif">
          <a:extLst>
            <a:ext uri="{FF2B5EF4-FFF2-40B4-BE49-F238E27FC236}">
              <a16:creationId xmlns:a16="http://schemas.microsoft.com/office/drawing/2014/main" id="{EF9FCB47-E37D-4E8F-8A0F-699E8B42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6" name="Imagen 225" descr="http://www.icbf.gov.co/images/pobtrans.gif">
          <a:extLst>
            <a:ext uri="{FF2B5EF4-FFF2-40B4-BE49-F238E27FC236}">
              <a16:creationId xmlns:a16="http://schemas.microsoft.com/office/drawing/2014/main" id="{65B2FDA5-8C91-4F9A-BEF2-D6BBE1DC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7" name="Imagen 226" descr="http://www.icbf.gov.co/images/pobtrans.gif">
          <a:extLst>
            <a:ext uri="{FF2B5EF4-FFF2-40B4-BE49-F238E27FC236}">
              <a16:creationId xmlns:a16="http://schemas.microsoft.com/office/drawing/2014/main" id="{A4049F59-137E-47BF-9566-8293A47A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8" name="Imagen 227" descr="http://www.icbf.gov.co/images/pobtrans.gif">
          <a:extLst>
            <a:ext uri="{FF2B5EF4-FFF2-40B4-BE49-F238E27FC236}">
              <a16:creationId xmlns:a16="http://schemas.microsoft.com/office/drawing/2014/main" id="{2FA24362-A131-4A26-8CC3-6717A741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29" name="Imagen 228" descr="http://www.icbf.gov.co/images/pobtrans.gif">
          <a:extLst>
            <a:ext uri="{FF2B5EF4-FFF2-40B4-BE49-F238E27FC236}">
              <a16:creationId xmlns:a16="http://schemas.microsoft.com/office/drawing/2014/main" id="{21F22F57-627B-4B0B-A2C2-FC4F4DAE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0" name="Imagen 229" descr="http://www.icbf.gov.co/images/pobtrans.gif">
          <a:extLst>
            <a:ext uri="{FF2B5EF4-FFF2-40B4-BE49-F238E27FC236}">
              <a16:creationId xmlns:a16="http://schemas.microsoft.com/office/drawing/2014/main" id="{0D7227BF-B3DC-4F50-8778-FA0065EB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1" name="Imagen 230" descr="http://www.icbf.gov.co/images/pobtrans.gif">
          <a:extLst>
            <a:ext uri="{FF2B5EF4-FFF2-40B4-BE49-F238E27FC236}">
              <a16:creationId xmlns:a16="http://schemas.microsoft.com/office/drawing/2014/main" id="{094FB3FD-980A-4CD7-8F74-35945A8E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2" name="Imagen 231" descr="http://www.icbf.gov.co/images/pobtrans.gif">
          <a:extLst>
            <a:ext uri="{FF2B5EF4-FFF2-40B4-BE49-F238E27FC236}">
              <a16:creationId xmlns:a16="http://schemas.microsoft.com/office/drawing/2014/main" id="{A709BB03-1CF1-4ED7-A096-23044055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3" name="Imagen 232" descr="http://www.icbf.gov.co/images/pobtrans.gif">
          <a:extLst>
            <a:ext uri="{FF2B5EF4-FFF2-40B4-BE49-F238E27FC236}">
              <a16:creationId xmlns:a16="http://schemas.microsoft.com/office/drawing/2014/main" id="{103AC786-F576-428C-9F58-79F9A3DA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4" name="Imagen 233" descr="http://www.icbf.gov.co/images/pobtrans.gif">
          <a:extLst>
            <a:ext uri="{FF2B5EF4-FFF2-40B4-BE49-F238E27FC236}">
              <a16:creationId xmlns:a16="http://schemas.microsoft.com/office/drawing/2014/main" id="{88A53174-D9BC-4E9C-AC0B-6CC45C99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5" name="Imagen 234" descr="http://www.icbf.gov.co/images/pobtrans.gif">
          <a:extLst>
            <a:ext uri="{FF2B5EF4-FFF2-40B4-BE49-F238E27FC236}">
              <a16:creationId xmlns:a16="http://schemas.microsoft.com/office/drawing/2014/main" id="{F2B8F490-84A5-40EF-ADE8-5A0E75CA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6" name="Imagen 235" descr="http://www.icbf.gov.co/images/pobtrans.gif">
          <a:extLst>
            <a:ext uri="{FF2B5EF4-FFF2-40B4-BE49-F238E27FC236}">
              <a16:creationId xmlns:a16="http://schemas.microsoft.com/office/drawing/2014/main" id="{10D18FD2-BD01-43E0-B5B8-7BE98F55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7" name="Imagen 236" descr="http://www.icbf.gov.co/images/pobtrans.gif">
          <a:extLst>
            <a:ext uri="{FF2B5EF4-FFF2-40B4-BE49-F238E27FC236}">
              <a16:creationId xmlns:a16="http://schemas.microsoft.com/office/drawing/2014/main" id="{93DE4D83-8783-4E32-AF77-13F40673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8" name="Imagen 237" descr="http://www.icbf.gov.co/images/pobtrans.gif">
          <a:extLst>
            <a:ext uri="{FF2B5EF4-FFF2-40B4-BE49-F238E27FC236}">
              <a16:creationId xmlns:a16="http://schemas.microsoft.com/office/drawing/2014/main" id="{09060CFF-D63A-41B5-B2E1-BF4C6227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39" name="Imagen 238" descr="http://www.icbf.gov.co/images/pobtrans.gif">
          <a:extLst>
            <a:ext uri="{FF2B5EF4-FFF2-40B4-BE49-F238E27FC236}">
              <a16:creationId xmlns:a16="http://schemas.microsoft.com/office/drawing/2014/main" id="{59C55CF0-9640-4665-BC52-EB48FCD1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0" name="Imagen 239" descr="http://www.icbf.gov.co/images/pobtrans.gif">
          <a:extLst>
            <a:ext uri="{FF2B5EF4-FFF2-40B4-BE49-F238E27FC236}">
              <a16:creationId xmlns:a16="http://schemas.microsoft.com/office/drawing/2014/main" id="{959305DD-B73C-46DA-85CD-C25C765D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1" name="Imagen 240" descr="http://www.icbf.gov.co/images/pobtrans.gif">
          <a:extLst>
            <a:ext uri="{FF2B5EF4-FFF2-40B4-BE49-F238E27FC236}">
              <a16:creationId xmlns:a16="http://schemas.microsoft.com/office/drawing/2014/main" id="{F615CCD8-69B9-479E-9591-95DD953F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2" name="Imagen 241" descr="http://www.icbf.gov.co/images/pobtrans.gif">
          <a:extLst>
            <a:ext uri="{FF2B5EF4-FFF2-40B4-BE49-F238E27FC236}">
              <a16:creationId xmlns:a16="http://schemas.microsoft.com/office/drawing/2014/main" id="{7363471F-4072-4502-AAF5-9368521A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3" name="Imagen 242" descr="http://www.icbf.gov.co/images/pobtrans.gif">
          <a:extLst>
            <a:ext uri="{FF2B5EF4-FFF2-40B4-BE49-F238E27FC236}">
              <a16:creationId xmlns:a16="http://schemas.microsoft.com/office/drawing/2014/main" id="{8C306C3D-7870-4790-A5C0-1E77F534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4" name="Imagen 243" descr="http://www.icbf.gov.co/images/pobtrans.gif">
          <a:extLst>
            <a:ext uri="{FF2B5EF4-FFF2-40B4-BE49-F238E27FC236}">
              <a16:creationId xmlns:a16="http://schemas.microsoft.com/office/drawing/2014/main" id="{C1AED0EC-46EE-4179-B657-38222B6C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5" name="Imagen 244" descr="http://www.icbf.gov.co/images/pobtrans.gif">
          <a:extLst>
            <a:ext uri="{FF2B5EF4-FFF2-40B4-BE49-F238E27FC236}">
              <a16:creationId xmlns:a16="http://schemas.microsoft.com/office/drawing/2014/main" id="{C216BD99-981C-4C82-8ED1-8CB8277C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6" name="Imagen 245" descr="http://www.icbf.gov.co/images/pobtrans.gif">
          <a:extLst>
            <a:ext uri="{FF2B5EF4-FFF2-40B4-BE49-F238E27FC236}">
              <a16:creationId xmlns:a16="http://schemas.microsoft.com/office/drawing/2014/main" id="{EAAB2E1D-70A7-4D3E-BEF2-1812FF05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7" name="Imagen 246" descr="http://www.icbf.gov.co/images/pobtrans.gif">
          <a:extLst>
            <a:ext uri="{FF2B5EF4-FFF2-40B4-BE49-F238E27FC236}">
              <a16:creationId xmlns:a16="http://schemas.microsoft.com/office/drawing/2014/main" id="{5F8BBD52-68E8-4292-8A4C-95105AC7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8" name="Imagen 247" descr="http://www.icbf.gov.co/images/pobtrans.gif">
          <a:extLst>
            <a:ext uri="{FF2B5EF4-FFF2-40B4-BE49-F238E27FC236}">
              <a16:creationId xmlns:a16="http://schemas.microsoft.com/office/drawing/2014/main" id="{1AA11614-AD40-47C1-90AC-48DC688C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49" name="Imagen 248" descr="http://www.icbf.gov.co/images/pobtrans.gif">
          <a:extLst>
            <a:ext uri="{FF2B5EF4-FFF2-40B4-BE49-F238E27FC236}">
              <a16:creationId xmlns:a16="http://schemas.microsoft.com/office/drawing/2014/main" id="{22D35AAF-C54F-414C-8A49-8E7B9DC3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0" name="Imagen 249" descr="http://www.icbf.gov.co/images/pobtrans.gif">
          <a:extLst>
            <a:ext uri="{FF2B5EF4-FFF2-40B4-BE49-F238E27FC236}">
              <a16:creationId xmlns:a16="http://schemas.microsoft.com/office/drawing/2014/main" id="{67DD2319-BF0B-4FD0-851F-2B3BAEF7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1" name="Imagen 250" descr="http://www.icbf.gov.co/images/pobtrans.gif">
          <a:extLst>
            <a:ext uri="{FF2B5EF4-FFF2-40B4-BE49-F238E27FC236}">
              <a16:creationId xmlns:a16="http://schemas.microsoft.com/office/drawing/2014/main" id="{73AB6208-2153-4845-8632-29E34463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2" name="Imagen 251" descr="http://www.icbf.gov.co/images/pobtrans.gif">
          <a:extLst>
            <a:ext uri="{FF2B5EF4-FFF2-40B4-BE49-F238E27FC236}">
              <a16:creationId xmlns:a16="http://schemas.microsoft.com/office/drawing/2014/main" id="{9672B965-B0C4-4BAE-B753-A508CE44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3" name="Imagen 252" descr="http://www.icbf.gov.co/images/pobtrans.gif">
          <a:extLst>
            <a:ext uri="{FF2B5EF4-FFF2-40B4-BE49-F238E27FC236}">
              <a16:creationId xmlns:a16="http://schemas.microsoft.com/office/drawing/2014/main" id="{3EC7E94A-0F56-401B-8103-F34416C0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4" name="Imagen 253" descr="http://www.icbf.gov.co/images/pobtrans.gif">
          <a:extLst>
            <a:ext uri="{FF2B5EF4-FFF2-40B4-BE49-F238E27FC236}">
              <a16:creationId xmlns:a16="http://schemas.microsoft.com/office/drawing/2014/main" id="{47C16D4D-F832-43C4-BC05-D8029661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5" name="Imagen 254" descr="http://www.icbf.gov.co/images/pobtrans.gif">
          <a:extLst>
            <a:ext uri="{FF2B5EF4-FFF2-40B4-BE49-F238E27FC236}">
              <a16:creationId xmlns:a16="http://schemas.microsoft.com/office/drawing/2014/main" id="{EAD4BE50-DA63-410C-A17F-D4E93A7DC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6" name="Imagen 255" descr="http://www.icbf.gov.co/images/pobtrans.gif">
          <a:extLst>
            <a:ext uri="{FF2B5EF4-FFF2-40B4-BE49-F238E27FC236}">
              <a16:creationId xmlns:a16="http://schemas.microsoft.com/office/drawing/2014/main" id="{4B3B8B1A-4774-4B51-89B5-213491BD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7" name="Imagen 256" descr="http://www.icbf.gov.co/images/pobtrans.gif">
          <a:extLst>
            <a:ext uri="{FF2B5EF4-FFF2-40B4-BE49-F238E27FC236}">
              <a16:creationId xmlns:a16="http://schemas.microsoft.com/office/drawing/2014/main" id="{E5ECE442-7AAF-4D84-997B-D9709C2CC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8" name="Imagen 257" descr="http://www.icbf.gov.co/images/pobtrans.gif">
          <a:extLst>
            <a:ext uri="{FF2B5EF4-FFF2-40B4-BE49-F238E27FC236}">
              <a16:creationId xmlns:a16="http://schemas.microsoft.com/office/drawing/2014/main" id="{BBA2B76E-1927-4DF2-8B03-716F1A4F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59" name="Imagen 258" descr="http://www.icbf.gov.co/images/pobtrans.gif">
          <a:extLst>
            <a:ext uri="{FF2B5EF4-FFF2-40B4-BE49-F238E27FC236}">
              <a16:creationId xmlns:a16="http://schemas.microsoft.com/office/drawing/2014/main" id="{F37E1961-1E69-40CD-800C-FDAEF90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0" name="Imagen 259" descr="http://www.icbf.gov.co/images/pobtrans.gif">
          <a:extLst>
            <a:ext uri="{FF2B5EF4-FFF2-40B4-BE49-F238E27FC236}">
              <a16:creationId xmlns:a16="http://schemas.microsoft.com/office/drawing/2014/main" id="{3C6F0F58-D9A1-46C1-8497-EF31A802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1" name="Imagen 260" descr="http://www.icbf.gov.co/images/pobtrans.gif">
          <a:extLst>
            <a:ext uri="{FF2B5EF4-FFF2-40B4-BE49-F238E27FC236}">
              <a16:creationId xmlns:a16="http://schemas.microsoft.com/office/drawing/2014/main" id="{78DCA9F5-120C-499E-8665-2B8F34A2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2" name="Imagen 261" descr="http://www.icbf.gov.co/images/pobtrans.gif">
          <a:extLst>
            <a:ext uri="{FF2B5EF4-FFF2-40B4-BE49-F238E27FC236}">
              <a16:creationId xmlns:a16="http://schemas.microsoft.com/office/drawing/2014/main" id="{C46D90C8-E92F-4658-96D9-331AB698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3" name="Imagen 262" descr="http://www.icbf.gov.co/images/pobtrans.gif">
          <a:extLst>
            <a:ext uri="{FF2B5EF4-FFF2-40B4-BE49-F238E27FC236}">
              <a16:creationId xmlns:a16="http://schemas.microsoft.com/office/drawing/2014/main" id="{53A65223-29A3-4B40-BDE2-E686B894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4" name="Imagen 263" descr="http://www.icbf.gov.co/images/pobtrans.gif">
          <a:extLst>
            <a:ext uri="{FF2B5EF4-FFF2-40B4-BE49-F238E27FC236}">
              <a16:creationId xmlns:a16="http://schemas.microsoft.com/office/drawing/2014/main" id="{88B68ADB-2F7E-477E-9FF9-6EF34C9B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5" name="Imagen 264" descr="http://www.icbf.gov.co/images/pobtrans.gif">
          <a:extLst>
            <a:ext uri="{FF2B5EF4-FFF2-40B4-BE49-F238E27FC236}">
              <a16:creationId xmlns:a16="http://schemas.microsoft.com/office/drawing/2014/main" id="{8EFB861C-F52D-4FD9-AD1B-03A43028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6" name="Imagen 265" descr="http://www.icbf.gov.co/images/pobtrans.gif">
          <a:extLst>
            <a:ext uri="{FF2B5EF4-FFF2-40B4-BE49-F238E27FC236}">
              <a16:creationId xmlns:a16="http://schemas.microsoft.com/office/drawing/2014/main" id="{A55F273E-A332-4373-A83C-A7078E06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7" name="Imagen 266" descr="http://www.icbf.gov.co/images/pobtrans.gif">
          <a:extLst>
            <a:ext uri="{FF2B5EF4-FFF2-40B4-BE49-F238E27FC236}">
              <a16:creationId xmlns:a16="http://schemas.microsoft.com/office/drawing/2014/main" id="{CD78E7C2-B462-4D70-A17D-D5257AE8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8" name="Imagen 267" descr="http://www.icbf.gov.co/images/pobtrans.gif">
          <a:extLst>
            <a:ext uri="{FF2B5EF4-FFF2-40B4-BE49-F238E27FC236}">
              <a16:creationId xmlns:a16="http://schemas.microsoft.com/office/drawing/2014/main" id="{AA6A7F34-A56A-4750-89E0-02CCEEFA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69" name="Imagen 268" descr="http://www.icbf.gov.co/images/pobtrans.gif">
          <a:extLst>
            <a:ext uri="{FF2B5EF4-FFF2-40B4-BE49-F238E27FC236}">
              <a16:creationId xmlns:a16="http://schemas.microsoft.com/office/drawing/2014/main" id="{32354FAC-1748-4626-9A4E-FA667888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0" name="Imagen 269" descr="http://www.icbf.gov.co/images/pobtrans.gif">
          <a:extLst>
            <a:ext uri="{FF2B5EF4-FFF2-40B4-BE49-F238E27FC236}">
              <a16:creationId xmlns:a16="http://schemas.microsoft.com/office/drawing/2014/main" id="{28DDB481-7BFD-4ABE-BAD5-7CA314E9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1" name="Imagen 270" descr="http://www.icbf.gov.co/images/pobtrans.gif">
          <a:extLst>
            <a:ext uri="{FF2B5EF4-FFF2-40B4-BE49-F238E27FC236}">
              <a16:creationId xmlns:a16="http://schemas.microsoft.com/office/drawing/2014/main" id="{01B62025-4C91-4E15-A9F2-772B65C8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2" name="Imagen 271" descr="http://www.icbf.gov.co/images/pobtrans.gif">
          <a:extLst>
            <a:ext uri="{FF2B5EF4-FFF2-40B4-BE49-F238E27FC236}">
              <a16:creationId xmlns:a16="http://schemas.microsoft.com/office/drawing/2014/main" id="{E33D8F96-FAF6-4544-B16D-07D9ED199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3" name="Imagen 272" descr="http://www.icbf.gov.co/images/pobtrans.gif">
          <a:extLst>
            <a:ext uri="{FF2B5EF4-FFF2-40B4-BE49-F238E27FC236}">
              <a16:creationId xmlns:a16="http://schemas.microsoft.com/office/drawing/2014/main" id="{79AB5C26-C2DB-44C9-B436-94891659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4" name="Imagen 273" descr="http://www.icbf.gov.co/images/pobtrans.gif">
          <a:extLst>
            <a:ext uri="{FF2B5EF4-FFF2-40B4-BE49-F238E27FC236}">
              <a16:creationId xmlns:a16="http://schemas.microsoft.com/office/drawing/2014/main" id="{6CCD4C75-F62F-42FD-9ED3-4E013653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5" name="Imagen 274" descr="http://www.icbf.gov.co/images/pobtrans.gif">
          <a:extLst>
            <a:ext uri="{FF2B5EF4-FFF2-40B4-BE49-F238E27FC236}">
              <a16:creationId xmlns:a16="http://schemas.microsoft.com/office/drawing/2014/main" id="{F9A28F24-1F72-4D23-88BE-31F9F6BC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6" name="Imagen 275" descr="http://www.icbf.gov.co/images/pobtrans.gif">
          <a:extLst>
            <a:ext uri="{FF2B5EF4-FFF2-40B4-BE49-F238E27FC236}">
              <a16:creationId xmlns:a16="http://schemas.microsoft.com/office/drawing/2014/main" id="{556E440C-4E72-4DEF-9D16-13B377B0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7" name="Imagen 276" descr="http://www.icbf.gov.co/images/pobtrans.gif">
          <a:extLst>
            <a:ext uri="{FF2B5EF4-FFF2-40B4-BE49-F238E27FC236}">
              <a16:creationId xmlns:a16="http://schemas.microsoft.com/office/drawing/2014/main" id="{A726C8A2-C4F3-4698-B232-9AA175B34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8" name="Imagen 277" descr="http://www.icbf.gov.co/images/pobtrans.gif">
          <a:extLst>
            <a:ext uri="{FF2B5EF4-FFF2-40B4-BE49-F238E27FC236}">
              <a16:creationId xmlns:a16="http://schemas.microsoft.com/office/drawing/2014/main" id="{F82B43DA-2D32-49F5-88B7-1D29AE9D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79" name="Imagen 278" descr="http://www.icbf.gov.co/images/pobtrans.gif">
          <a:extLst>
            <a:ext uri="{FF2B5EF4-FFF2-40B4-BE49-F238E27FC236}">
              <a16:creationId xmlns:a16="http://schemas.microsoft.com/office/drawing/2014/main" id="{88228917-AE24-4848-BB2E-21BD0EAB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80" name="Imagen 279" descr="http://www.icbf.gov.co/images/pobtrans.gif">
          <a:extLst>
            <a:ext uri="{FF2B5EF4-FFF2-40B4-BE49-F238E27FC236}">
              <a16:creationId xmlns:a16="http://schemas.microsoft.com/office/drawing/2014/main" id="{65D4FA2A-E3F4-4FB3-98D0-0B792099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81" name="Imagen 280" descr="http://www.icbf.gov.co/images/pobtrans.gif">
          <a:extLst>
            <a:ext uri="{FF2B5EF4-FFF2-40B4-BE49-F238E27FC236}">
              <a16:creationId xmlns:a16="http://schemas.microsoft.com/office/drawing/2014/main" id="{98AC7CBF-7FFA-4A27-8774-4E5C9F7B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82" name="Imagen 281" descr="http://www.icbf.gov.co/images/pobtrans.gif">
          <a:extLst>
            <a:ext uri="{FF2B5EF4-FFF2-40B4-BE49-F238E27FC236}">
              <a16:creationId xmlns:a16="http://schemas.microsoft.com/office/drawing/2014/main" id="{7ED8A20C-3357-4675-A29C-EDB740F1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83" name="Imagen 282" descr="http://www.icbf.gov.co/images/pobtrans.gif">
          <a:extLst>
            <a:ext uri="{FF2B5EF4-FFF2-40B4-BE49-F238E27FC236}">
              <a16:creationId xmlns:a16="http://schemas.microsoft.com/office/drawing/2014/main" id="{59B494A0-20E0-420E-9C28-4C654639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66</xdr:row>
      <xdr:rowOff>0</xdr:rowOff>
    </xdr:from>
    <xdr:ext cx="9525" cy="114300"/>
    <xdr:pic>
      <xdr:nvPicPr>
        <xdr:cNvPr id="284" name="Imagen 283" descr="http://www.icbf.gov.co/images/pobtrans.gif">
          <a:extLst>
            <a:ext uri="{FF2B5EF4-FFF2-40B4-BE49-F238E27FC236}">
              <a16:creationId xmlns:a16="http://schemas.microsoft.com/office/drawing/2014/main" id="{7867F493-4BF5-4C99-9B1A-32D1B1A12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85" name="Imagen 284" descr="http://www.icbf.gov.co/images/pobtrans.gif">
          <a:extLst>
            <a:ext uri="{FF2B5EF4-FFF2-40B4-BE49-F238E27FC236}">
              <a16:creationId xmlns:a16="http://schemas.microsoft.com/office/drawing/2014/main" id="{A00E16B9-6C2A-4E03-A7CF-A444DBD4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86" name="Imagen 285" descr="http://www.icbf.gov.co/images/pobtrans.gif">
          <a:extLst>
            <a:ext uri="{FF2B5EF4-FFF2-40B4-BE49-F238E27FC236}">
              <a16:creationId xmlns:a16="http://schemas.microsoft.com/office/drawing/2014/main" id="{FCB36D3C-61DE-4B68-9BA6-54476EDB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87" name="Imagen 286" descr="http://www.icbf.gov.co/images/pobtrans.gif">
          <a:extLst>
            <a:ext uri="{FF2B5EF4-FFF2-40B4-BE49-F238E27FC236}">
              <a16:creationId xmlns:a16="http://schemas.microsoft.com/office/drawing/2014/main" id="{517E873A-13C7-44D5-82C7-1BA76836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88" name="Imagen 287" descr="http://www.icbf.gov.co/images/pobtrans.gif">
          <a:extLst>
            <a:ext uri="{FF2B5EF4-FFF2-40B4-BE49-F238E27FC236}">
              <a16:creationId xmlns:a16="http://schemas.microsoft.com/office/drawing/2014/main" id="{27B8F631-2418-4DEC-99BE-527EF1D9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89" name="Imagen 288" descr="http://www.icbf.gov.co/images/pobtrans.gif">
          <a:extLst>
            <a:ext uri="{FF2B5EF4-FFF2-40B4-BE49-F238E27FC236}">
              <a16:creationId xmlns:a16="http://schemas.microsoft.com/office/drawing/2014/main" id="{BCBE5954-902F-4B2C-89FA-F2BD5B1A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0" name="Imagen 289" descr="http://www.icbf.gov.co/images/pobtrans.gif">
          <a:extLst>
            <a:ext uri="{FF2B5EF4-FFF2-40B4-BE49-F238E27FC236}">
              <a16:creationId xmlns:a16="http://schemas.microsoft.com/office/drawing/2014/main" id="{EB52D5BB-6D12-4332-887D-265141277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1" name="Imagen 290" descr="http://www.icbf.gov.co/images/pobtrans.gif">
          <a:extLst>
            <a:ext uri="{FF2B5EF4-FFF2-40B4-BE49-F238E27FC236}">
              <a16:creationId xmlns:a16="http://schemas.microsoft.com/office/drawing/2014/main" id="{9DBAC4F8-F2D2-4872-B69B-685EBE0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2" name="Imagen 291" descr="http://www.icbf.gov.co/images/pobtrans.gif">
          <a:extLst>
            <a:ext uri="{FF2B5EF4-FFF2-40B4-BE49-F238E27FC236}">
              <a16:creationId xmlns:a16="http://schemas.microsoft.com/office/drawing/2014/main" id="{6CE87596-1F47-496A-B9B1-C14758F0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3" name="Imagen 292" descr="http://www.icbf.gov.co/images/pobtrans.gif">
          <a:extLst>
            <a:ext uri="{FF2B5EF4-FFF2-40B4-BE49-F238E27FC236}">
              <a16:creationId xmlns:a16="http://schemas.microsoft.com/office/drawing/2014/main" id="{4CB7624C-BA59-4537-BD48-81685F71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4" name="Imagen 293" descr="http://www.icbf.gov.co/images/pobtrans.gif">
          <a:extLst>
            <a:ext uri="{FF2B5EF4-FFF2-40B4-BE49-F238E27FC236}">
              <a16:creationId xmlns:a16="http://schemas.microsoft.com/office/drawing/2014/main" id="{D165A678-2D19-4CD2-84E3-A1A2F7F8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5" name="Imagen 294" descr="http://www.icbf.gov.co/images/pobtrans.gif">
          <a:extLst>
            <a:ext uri="{FF2B5EF4-FFF2-40B4-BE49-F238E27FC236}">
              <a16:creationId xmlns:a16="http://schemas.microsoft.com/office/drawing/2014/main" id="{857E04D1-B973-48B6-9E0F-0C7D004D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6" name="Imagen 295" descr="http://www.icbf.gov.co/images/pobtrans.gif">
          <a:extLst>
            <a:ext uri="{FF2B5EF4-FFF2-40B4-BE49-F238E27FC236}">
              <a16:creationId xmlns:a16="http://schemas.microsoft.com/office/drawing/2014/main" id="{26E148E2-39A2-4968-8D07-9E9BF483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7" name="Imagen 296" descr="http://www.icbf.gov.co/images/pobtrans.gif">
          <a:extLst>
            <a:ext uri="{FF2B5EF4-FFF2-40B4-BE49-F238E27FC236}">
              <a16:creationId xmlns:a16="http://schemas.microsoft.com/office/drawing/2014/main" id="{584452CE-902D-49BF-9C4A-ED4743E9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8" name="Imagen 297" descr="http://www.icbf.gov.co/images/pobtrans.gif">
          <a:extLst>
            <a:ext uri="{FF2B5EF4-FFF2-40B4-BE49-F238E27FC236}">
              <a16:creationId xmlns:a16="http://schemas.microsoft.com/office/drawing/2014/main" id="{D9681104-C6C2-47BD-BDC7-1585A8EF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299" name="Imagen 298" descr="http://www.icbf.gov.co/images/pobtrans.gif">
          <a:extLst>
            <a:ext uri="{FF2B5EF4-FFF2-40B4-BE49-F238E27FC236}">
              <a16:creationId xmlns:a16="http://schemas.microsoft.com/office/drawing/2014/main" id="{3C0FFBD7-FCC8-4267-B0F8-BFA089B9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0" name="Imagen 299" descr="http://www.icbf.gov.co/images/pobtrans.gif">
          <a:extLst>
            <a:ext uri="{FF2B5EF4-FFF2-40B4-BE49-F238E27FC236}">
              <a16:creationId xmlns:a16="http://schemas.microsoft.com/office/drawing/2014/main" id="{20CBE024-757C-4EC1-B36D-4B8A3C3E7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1" name="Imagen 300" descr="http://www.icbf.gov.co/images/pobtrans.gif">
          <a:extLst>
            <a:ext uri="{FF2B5EF4-FFF2-40B4-BE49-F238E27FC236}">
              <a16:creationId xmlns:a16="http://schemas.microsoft.com/office/drawing/2014/main" id="{944A7895-AC63-4714-B9B4-79C46791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2" name="Imagen 301" descr="http://www.icbf.gov.co/images/pobtrans.gif">
          <a:extLst>
            <a:ext uri="{FF2B5EF4-FFF2-40B4-BE49-F238E27FC236}">
              <a16:creationId xmlns:a16="http://schemas.microsoft.com/office/drawing/2014/main" id="{A9E2D05D-64B2-4372-B593-0449FA55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3" name="Imagen 302" descr="http://www.icbf.gov.co/images/pobtrans.gif">
          <a:extLst>
            <a:ext uri="{FF2B5EF4-FFF2-40B4-BE49-F238E27FC236}">
              <a16:creationId xmlns:a16="http://schemas.microsoft.com/office/drawing/2014/main" id="{B9397B6E-F293-41ED-B3CA-8A073422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4" name="Imagen 303" descr="http://www.icbf.gov.co/images/pobtrans.gif">
          <a:extLst>
            <a:ext uri="{FF2B5EF4-FFF2-40B4-BE49-F238E27FC236}">
              <a16:creationId xmlns:a16="http://schemas.microsoft.com/office/drawing/2014/main" id="{75FA3F5B-FF31-46AB-B382-B9EA25B0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5" name="Imagen 304" descr="http://www.icbf.gov.co/images/pobtrans.gif">
          <a:extLst>
            <a:ext uri="{FF2B5EF4-FFF2-40B4-BE49-F238E27FC236}">
              <a16:creationId xmlns:a16="http://schemas.microsoft.com/office/drawing/2014/main" id="{827A9DCF-2CF5-4761-B84D-6C9868DD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6" name="Imagen 305" descr="http://www.icbf.gov.co/images/pobtrans.gif">
          <a:extLst>
            <a:ext uri="{FF2B5EF4-FFF2-40B4-BE49-F238E27FC236}">
              <a16:creationId xmlns:a16="http://schemas.microsoft.com/office/drawing/2014/main" id="{81E86769-9932-4BCD-9037-CCC9C152C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7" name="Imagen 306" descr="http://www.icbf.gov.co/images/pobtrans.gif">
          <a:extLst>
            <a:ext uri="{FF2B5EF4-FFF2-40B4-BE49-F238E27FC236}">
              <a16:creationId xmlns:a16="http://schemas.microsoft.com/office/drawing/2014/main" id="{49E0D4E7-13E6-4F29-B3C8-F98944D0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8" name="Imagen 307" descr="http://www.icbf.gov.co/images/pobtrans.gif">
          <a:extLst>
            <a:ext uri="{FF2B5EF4-FFF2-40B4-BE49-F238E27FC236}">
              <a16:creationId xmlns:a16="http://schemas.microsoft.com/office/drawing/2014/main" id="{78C152D8-709F-4B52-AFAB-9B81368C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09" name="Imagen 308" descr="http://www.icbf.gov.co/images/pobtrans.gif">
          <a:extLst>
            <a:ext uri="{FF2B5EF4-FFF2-40B4-BE49-F238E27FC236}">
              <a16:creationId xmlns:a16="http://schemas.microsoft.com/office/drawing/2014/main" id="{593D2EC0-13DD-43F3-8AF8-A35F4269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0" name="Imagen 309" descr="http://www.icbf.gov.co/images/pobtrans.gif">
          <a:extLst>
            <a:ext uri="{FF2B5EF4-FFF2-40B4-BE49-F238E27FC236}">
              <a16:creationId xmlns:a16="http://schemas.microsoft.com/office/drawing/2014/main" id="{5ECA2715-BBA6-4ED6-B2C0-818EB03B5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1" name="Imagen 310" descr="http://www.icbf.gov.co/images/pobtrans.gif">
          <a:extLst>
            <a:ext uri="{FF2B5EF4-FFF2-40B4-BE49-F238E27FC236}">
              <a16:creationId xmlns:a16="http://schemas.microsoft.com/office/drawing/2014/main" id="{35396CEC-8AD2-4F9A-A959-872F8678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2" name="Imagen 311" descr="http://www.icbf.gov.co/images/pobtrans.gif">
          <a:extLst>
            <a:ext uri="{FF2B5EF4-FFF2-40B4-BE49-F238E27FC236}">
              <a16:creationId xmlns:a16="http://schemas.microsoft.com/office/drawing/2014/main" id="{3765F092-DCF2-4040-998C-F488EE0A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3" name="Imagen 312" descr="http://www.icbf.gov.co/images/pobtrans.gif">
          <a:extLst>
            <a:ext uri="{FF2B5EF4-FFF2-40B4-BE49-F238E27FC236}">
              <a16:creationId xmlns:a16="http://schemas.microsoft.com/office/drawing/2014/main" id="{D9D027C2-2391-442D-87C4-1FFC6644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4" name="Imagen 313" descr="http://www.icbf.gov.co/images/pobtrans.gif">
          <a:extLst>
            <a:ext uri="{FF2B5EF4-FFF2-40B4-BE49-F238E27FC236}">
              <a16:creationId xmlns:a16="http://schemas.microsoft.com/office/drawing/2014/main" id="{66E7DE5F-C674-486D-9399-8395ED8F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5" name="Imagen 314" descr="http://www.icbf.gov.co/images/pobtrans.gif">
          <a:extLst>
            <a:ext uri="{FF2B5EF4-FFF2-40B4-BE49-F238E27FC236}">
              <a16:creationId xmlns:a16="http://schemas.microsoft.com/office/drawing/2014/main" id="{614EE585-6BB3-4D08-B981-1361A866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6" name="Imagen 315" descr="http://www.icbf.gov.co/images/pobtrans.gif">
          <a:extLst>
            <a:ext uri="{FF2B5EF4-FFF2-40B4-BE49-F238E27FC236}">
              <a16:creationId xmlns:a16="http://schemas.microsoft.com/office/drawing/2014/main" id="{83EA4664-DB3F-46C8-BB68-A5EE7CAE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7" name="Imagen 316" descr="http://www.icbf.gov.co/images/pobtrans.gif">
          <a:extLst>
            <a:ext uri="{FF2B5EF4-FFF2-40B4-BE49-F238E27FC236}">
              <a16:creationId xmlns:a16="http://schemas.microsoft.com/office/drawing/2014/main" id="{B4987C02-4732-4EDD-B158-76627534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07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8" name="Imagen 317" descr="http://www.icbf.gov.co/images/pobtrans.gif">
          <a:extLst>
            <a:ext uri="{FF2B5EF4-FFF2-40B4-BE49-F238E27FC236}">
              <a16:creationId xmlns:a16="http://schemas.microsoft.com/office/drawing/2014/main" id="{2B3C8309-D1BF-413E-97CE-3D0A6EA0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681022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19" name="Imagen 318" descr="http://www.icbf.gov.co/images/pobtrans.gif">
          <a:extLst>
            <a:ext uri="{FF2B5EF4-FFF2-40B4-BE49-F238E27FC236}">
              <a16:creationId xmlns:a16="http://schemas.microsoft.com/office/drawing/2014/main" id="{841C8F03-AA53-4E9A-8868-B95FF724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3107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23812</xdr:colOff>
      <xdr:row>66</xdr:row>
      <xdr:rowOff>0</xdr:rowOff>
    </xdr:from>
    <xdr:ext cx="9525" cy="114300"/>
    <xdr:pic>
      <xdr:nvPicPr>
        <xdr:cNvPr id="320" name="Imagen 319" descr="http://www.icbf.gov.co/images/pobtrans.gif">
          <a:extLst>
            <a:ext uri="{FF2B5EF4-FFF2-40B4-BE49-F238E27FC236}">
              <a16:creationId xmlns:a16="http://schemas.microsoft.com/office/drawing/2014/main" id="{B6D87525-9F83-4A61-B85B-8219DCCB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087" y="1987003107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204224</xdr:colOff>
      <xdr:row>0</xdr:row>
      <xdr:rowOff>1</xdr:rowOff>
    </xdr:from>
    <xdr:to>
      <xdr:col>6</xdr:col>
      <xdr:colOff>194863</xdr:colOff>
      <xdr:row>3</xdr:row>
      <xdr:rowOff>301625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49F2B22F-1FB1-4928-94EB-4E059AE6C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0599" y="1"/>
          <a:ext cx="4249913" cy="1015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" name="Imagen 305" descr="http://www.icbf.gov.co/images/pobtrans.gif">
          <a:extLst>
            <a:ext uri="{FF2B5EF4-FFF2-40B4-BE49-F238E27FC236}">
              <a16:creationId xmlns:a16="http://schemas.microsoft.com/office/drawing/2014/main" id="{ACCA620A-3BC6-4E7D-8762-5AE7D16F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" name="Imagen 306" descr="http://www.icbf.gov.co/images/pobtrans.gif">
          <a:extLst>
            <a:ext uri="{FF2B5EF4-FFF2-40B4-BE49-F238E27FC236}">
              <a16:creationId xmlns:a16="http://schemas.microsoft.com/office/drawing/2014/main" id="{1A11B8F6-8C49-4C30-BF3E-701C5E5F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" name="Imagen 307" descr="http://www.icbf.gov.co/images/pobtrans.gif">
          <a:extLst>
            <a:ext uri="{FF2B5EF4-FFF2-40B4-BE49-F238E27FC236}">
              <a16:creationId xmlns:a16="http://schemas.microsoft.com/office/drawing/2014/main" id="{109234E7-E069-4EA6-AE86-3A0B40F2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" name="Imagen 697" descr="http://www.icbf.gov.co/images/pobtrans.gif">
          <a:extLst>
            <a:ext uri="{FF2B5EF4-FFF2-40B4-BE49-F238E27FC236}">
              <a16:creationId xmlns:a16="http://schemas.microsoft.com/office/drawing/2014/main" id="{F6FC8C20-4F0F-4DA6-A35F-2DC172B9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" name="Imagen 785" descr="http://www.icbf.gov.co/images/pobtrans.gif">
          <a:extLst>
            <a:ext uri="{FF2B5EF4-FFF2-40B4-BE49-F238E27FC236}">
              <a16:creationId xmlns:a16="http://schemas.microsoft.com/office/drawing/2014/main" id="{52EAD737-98B4-4F22-AB81-34D0FEBB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" name="Imagen 790" descr="http://www.icbf.gov.co/images/pobtrans.gif">
          <a:extLst>
            <a:ext uri="{FF2B5EF4-FFF2-40B4-BE49-F238E27FC236}">
              <a16:creationId xmlns:a16="http://schemas.microsoft.com/office/drawing/2014/main" id="{7A0B3700-226A-4856-8951-BB891A2B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" name="Imagen 1079" descr="http://www.icbf.gov.co/images/pobtrans.gif">
          <a:extLst>
            <a:ext uri="{FF2B5EF4-FFF2-40B4-BE49-F238E27FC236}">
              <a16:creationId xmlns:a16="http://schemas.microsoft.com/office/drawing/2014/main" id="{0853BB9B-06A0-4A7B-8040-14D773E0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" name="Imagen 1566" descr="http://www.icbf.gov.co/images/pobtrans.gif">
          <a:extLst>
            <a:ext uri="{FF2B5EF4-FFF2-40B4-BE49-F238E27FC236}">
              <a16:creationId xmlns:a16="http://schemas.microsoft.com/office/drawing/2014/main" id="{83D4AF45-50A9-4C03-A171-EF5D0018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" name="Imagen 1570" descr="http://www.icbf.gov.co/images/pobtrans.gif">
          <a:extLst>
            <a:ext uri="{FF2B5EF4-FFF2-40B4-BE49-F238E27FC236}">
              <a16:creationId xmlns:a16="http://schemas.microsoft.com/office/drawing/2014/main" id="{06A26CC5-8CE1-401A-BD27-7A669261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" name="Imagen 1687" descr="http://www.icbf.gov.co/images/pobtrans.gif">
          <a:extLst>
            <a:ext uri="{FF2B5EF4-FFF2-40B4-BE49-F238E27FC236}">
              <a16:creationId xmlns:a16="http://schemas.microsoft.com/office/drawing/2014/main" id="{BD5356BC-EE5E-440C-9613-179FC99C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" name="Imagen 1914" descr="http://www.icbf.gov.co/images/pobtrans.gif">
          <a:extLst>
            <a:ext uri="{FF2B5EF4-FFF2-40B4-BE49-F238E27FC236}">
              <a16:creationId xmlns:a16="http://schemas.microsoft.com/office/drawing/2014/main" id="{DD92BC09-31DE-400F-8792-31AB2AF9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" name="Imagen 2186" descr="http://www.icbf.gov.co/images/pobtrans.gif">
          <a:extLst>
            <a:ext uri="{FF2B5EF4-FFF2-40B4-BE49-F238E27FC236}">
              <a16:creationId xmlns:a16="http://schemas.microsoft.com/office/drawing/2014/main" id="{6283F534-7011-4C7F-B17A-D63A7CF0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5" name="Imagen 2221" descr="http://www.icbf.gov.co/images/pobtrans.gif">
          <a:extLst>
            <a:ext uri="{FF2B5EF4-FFF2-40B4-BE49-F238E27FC236}">
              <a16:creationId xmlns:a16="http://schemas.microsoft.com/office/drawing/2014/main" id="{C3F1C9F4-1DD9-453A-A5A0-2BA43E68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6" name="Imagen 2859" descr="http://www.icbf.gov.co/images/pobtrans.gif">
          <a:extLst>
            <a:ext uri="{FF2B5EF4-FFF2-40B4-BE49-F238E27FC236}">
              <a16:creationId xmlns:a16="http://schemas.microsoft.com/office/drawing/2014/main" id="{EDA47083-6D61-4EA0-AC22-87859C8A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7" name="Imagen 2870" descr="http://www.icbf.gov.co/images/pobtrans.gif">
          <a:extLst>
            <a:ext uri="{FF2B5EF4-FFF2-40B4-BE49-F238E27FC236}">
              <a16:creationId xmlns:a16="http://schemas.microsoft.com/office/drawing/2014/main" id="{60B91D88-C5E9-4F80-8A88-19B3DE6C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8" name="Imagen 2951" descr="http://www.icbf.gov.co/images/pobtrans.gif">
          <a:extLst>
            <a:ext uri="{FF2B5EF4-FFF2-40B4-BE49-F238E27FC236}">
              <a16:creationId xmlns:a16="http://schemas.microsoft.com/office/drawing/2014/main" id="{757DD604-A3D6-4A35-B448-FF0EB4B4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9" name="Imagen 2954" descr="http://www.icbf.gov.co/images/pobtrans.gif">
          <a:extLst>
            <a:ext uri="{FF2B5EF4-FFF2-40B4-BE49-F238E27FC236}">
              <a16:creationId xmlns:a16="http://schemas.microsoft.com/office/drawing/2014/main" id="{E0C7DEDF-E6B4-453F-8FAD-F2D71177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0" name="Imagen 3123" descr="http://www.icbf.gov.co/images/pobtrans.gif">
          <a:extLst>
            <a:ext uri="{FF2B5EF4-FFF2-40B4-BE49-F238E27FC236}">
              <a16:creationId xmlns:a16="http://schemas.microsoft.com/office/drawing/2014/main" id="{15D67A05-7901-4063-9B63-73D0B401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1" name="Imagen 3206" descr="http://www.icbf.gov.co/images/pobtrans.gif">
          <a:extLst>
            <a:ext uri="{FF2B5EF4-FFF2-40B4-BE49-F238E27FC236}">
              <a16:creationId xmlns:a16="http://schemas.microsoft.com/office/drawing/2014/main" id="{0C026212-2A07-476A-BE0A-313F772B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2" name="Imagen 3810" descr="http://www.icbf.gov.co/images/pobtrans.gif">
          <a:extLst>
            <a:ext uri="{FF2B5EF4-FFF2-40B4-BE49-F238E27FC236}">
              <a16:creationId xmlns:a16="http://schemas.microsoft.com/office/drawing/2014/main" id="{45DA85E3-E807-40A0-9C5C-901E71DC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3" name="Imagen 3821" descr="http://www.icbf.gov.co/images/pobtrans.gif">
          <a:extLst>
            <a:ext uri="{FF2B5EF4-FFF2-40B4-BE49-F238E27FC236}">
              <a16:creationId xmlns:a16="http://schemas.microsoft.com/office/drawing/2014/main" id="{A5BA6DE5-5259-4453-9929-5ACF2E4F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4" name="Imagen 3899" descr="http://www.icbf.gov.co/images/pobtrans.gif">
          <a:extLst>
            <a:ext uri="{FF2B5EF4-FFF2-40B4-BE49-F238E27FC236}">
              <a16:creationId xmlns:a16="http://schemas.microsoft.com/office/drawing/2014/main" id="{60A8040B-5973-4C92-9309-42939EAE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5" name="Imagen 3909" descr="http://www.icbf.gov.co/images/pobtrans.gif">
          <a:extLst>
            <a:ext uri="{FF2B5EF4-FFF2-40B4-BE49-F238E27FC236}">
              <a16:creationId xmlns:a16="http://schemas.microsoft.com/office/drawing/2014/main" id="{6C8AF7F7-B04F-4328-BDA6-3C3058C2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6" name="Imagen 4244" descr="http://www.icbf.gov.co/images/pobtrans.gif">
          <a:extLst>
            <a:ext uri="{FF2B5EF4-FFF2-40B4-BE49-F238E27FC236}">
              <a16:creationId xmlns:a16="http://schemas.microsoft.com/office/drawing/2014/main" id="{53E88B18-0F44-4E48-80E3-6237A4A7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7" name="Imagen 4461" descr="http://www.icbf.gov.co/images/pobtrans.gif">
          <a:extLst>
            <a:ext uri="{FF2B5EF4-FFF2-40B4-BE49-F238E27FC236}">
              <a16:creationId xmlns:a16="http://schemas.microsoft.com/office/drawing/2014/main" id="{ABA7BED4-D29E-4D23-B226-E1286B7A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8" name="Imagen 4811" descr="http://www.icbf.gov.co/images/pobtrans.gif">
          <a:extLst>
            <a:ext uri="{FF2B5EF4-FFF2-40B4-BE49-F238E27FC236}">
              <a16:creationId xmlns:a16="http://schemas.microsoft.com/office/drawing/2014/main" id="{96CFB638-E79D-4D9C-9B90-3F31ECD7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29" name="Imagen 4820" descr="http://www.icbf.gov.co/images/pobtrans.gif">
          <a:extLst>
            <a:ext uri="{FF2B5EF4-FFF2-40B4-BE49-F238E27FC236}">
              <a16:creationId xmlns:a16="http://schemas.microsoft.com/office/drawing/2014/main" id="{17CD61A2-D8B4-484A-97B9-AB9CB138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0" name="Imagen 5584" descr="http://www.icbf.gov.co/images/pobtrans.gif">
          <a:extLst>
            <a:ext uri="{FF2B5EF4-FFF2-40B4-BE49-F238E27FC236}">
              <a16:creationId xmlns:a16="http://schemas.microsoft.com/office/drawing/2014/main" id="{316D03AE-603B-48CA-B51A-94347A6B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1" name="Imagen 5931" descr="http://www.icbf.gov.co/images/pobtrans.gif">
          <a:extLst>
            <a:ext uri="{FF2B5EF4-FFF2-40B4-BE49-F238E27FC236}">
              <a16:creationId xmlns:a16="http://schemas.microsoft.com/office/drawing/2014/main" id="{8CA55628-45AB-45E6-A010-1798F7BF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2" name="Imagen 6103" descr="http://www.icbf.gov.co/images/pobtrans.gif">
          <a:extLst>
            <a:ext uri="{FF2B5EF4-FFF2-40B4-BE49-F238E27FC236}">
              <a16:creationId xmlns:a16="http://schemas.microsoft.com/office/drawing/2014/main" id="{68BD0761-FABB-4350-8A0D-E2B74111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3" name="Imagen 6107" descr="http://www.icbf.gov.co/images/pobtrans.gif">
          <a:extLst>
            <a:ext uri="{FF2B5EF4-FFF2-40B4-BE49-F238E27FC236}">
              <a16:creationId xmlns:a16="http://schemas.microsoft.com/office/drawing/2014/main" id="{2795DDCD-7D22-4985-9161-1EC80D535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4" name="Imagen 6731" descr="http://www.icbf.gov.co/images/pobtrans.gif">
          <a:extLst>
            <a:ext uri="{FF2B5EF4-FFF2-40B4-BE49-F238E27FC236}">
              <a16:creationId xmlns:a16="http://schemas.microsoft.com/office/drawing/2014/main" id="{3811D261-38FE-40D6-89BB-443B314A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5" name="Imagen 6951" descr="http://www.icbf.gov.co/images/pobtrans.gif">
          <a:extLst>
            <a:ext uri="{FF2B5EF4-FFF2-40B4-BE49-F238E27FC236}">
              <a16:creationId xmlns:a16="http://schemas.microsoft.com/office/drawing/2014/main" id="{54CB67BE-F96C-4586-9F3D-1B52F6F0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6" name="Imagen 7032" descr="http://www.icbf.gov.co/images/pobtrans.gif">
          <a:extLst>
            <a:ext uri="{FF2B5EF4-FFF2-40B4-BE49-F238E27FC236}">
              <a16:creationId xmlns:a16="http://schemas.microsoft.com/office/drawing/2014/main" id="{B5CFB8CC-0759-4905-AC17-06026843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7" name="Imagen 7042" descr="http://www.icbf.gov.co/images/pobtrans.gif">
          <a:extLst>
            <a:ext uri="{FF2B5EF4-FFF2-40B4-BE49-F238E27FC236}">
              <a16:creationId xmlns:a16="http://schemas.microsoft.com/office/drawing/2014/main" id="{70763FA4-D527-4A6C-B2AA-A41F1F2F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8" name="Imagen 7053" descr="http://www.icbf.gov.co/images/pobtrans.gif">
          <a:extLst>
            <a:ext uri="{FF2B5EF4-FFF2-40B4-BE49-F238E27FC236}">
              <a16:creationId xmlns:a16="http://schemas.microsoft.com/office/drawing/2014/main" id="{9436BAF9-D560-4901-ABF8-BEF1103C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39" name="Imagen 7120" descr="http://www.icbf.gov.co/images/pobtrans.gif">
          <a:extLst>
            <a:ext uri="{FF2B5EF4-FFF2-40B4-BE49-F238E27FC236}">
              <a16:creationId xmlns:a16="http://schemas.microsoft.com/office/drawing/2014/main" id="{327A71AE-A49F-4CF5-BCE9-D979FA1B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0" name="Imagen 7187" descr="http://www.icbf.gov.co/images/pobtrans.gif">
          <a:extLst>
            <a:ext uri="{FF2B5EF4-FFF2-40B4-BE49-F238E27FC236}">
              <a16:creationId xmlns:a16="http://schemas.microsoft.com/office/drawing/2014/main" id="{661B7A8E-1BCC-415F-931A-9C688BC9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1" name="Imagen 7417" descr="http://www.icbf.gov.co/images/pobtrans.gif">
          <a:extLst>
            <a:ext uri="{FF2B5EF4-FFF2-40B4-BE49-F238E27FC236}">
              <a16:creationId xmlns:a16="http://schemas.microsoft.com/office/drawing/2014/main" id="{7DC74F12-3DA7-4EFA-B967-613AB09D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2" name="Imagen 7504" descr="http://www.icbf.gov.co/images/pobtrans.gif">
          <a:extLst>
            <a:ext uri="{FF2B5EF4-FFF2-40B4-BE49-F238E27FC236}">
              <a16:creationId xmlns:a16="http://schemas.microsoft.com/office/drawing/2014/main" id="{DF8B28DD-1A5D-4CF2-A410-1C3373F57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3" name="Imagen 7597" descr="http://www.icbf.gov.co/images/pobtrans.gif">
          <a:extLst>
            <a:ext uri="{FF2B5EF4-FFF2-40B4-BE49-F238E27FC236}">
              <a16:creationId xmlns:a16="http://schemas.microsoft.com/office/drawing/2014/main" id="{FE905B81-995E-4420-A598-D3C21168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4" name="Imagen 7659" descr="http://www.icbf.gov.co/images/pobtrans.gif">
          <a:extLst>
            <a:ext uri="{FF2B5EF4-FFF2-40B4-BE49-F238E27FC236}">
              <a16:creationId xmlns:a16="http://schemas.microsoft.com/office/drawing/2014/main" id="{2A49435B-14E3-40A1-B016-8A909B7B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5" name="Imagen 7767" descr="http://www.icbf.gov.co/images/pobtrans.gif">
          <a:extLst>
            <a:ext uri="{FF2B5EF4-FFF2-40B4-BE49-F238E27FC236}">
              <a16:creationId xmlns:a16="http://schemas.microsoft.com/office/drawing/2014/main" id="{AB0FA27C-3CAA-44EF-886F-0F00D01A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6" name="Imagen 7853" descr="http://www.icbf.gov.co/images/pobtrans.gif">
          <a:extLst>
            <a:ext uri="{FF2B5EF4-FFF2-40B4-BE49-F238E27FC236}">
              <a16:creationId xmlns:a16="http://schemas.microsoft.com/office/drawing/2014/main" id="{A7890463-8001-4704-94E6-C6ACD63E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7" name="Imagen 7936" descr="http://www.icbf.gov.co/images/pobtrans.gif">
          <a:extLst>
            <a:ext uri="{FF2B5EF4-FFF2-40B4-BE49-F238E27FC236}">
              <a16:creationId xmlns:a16="http://schemas.microsoft.com/office/drawing/2014/main" id="{1915B945-84E5-4675-B567-7CBDA74B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8" name="Imagen 8612" descr="http://www.icbf.gov.co/images/pobtrans.gif">
          <a:extLst>
            <a:ext uri="{FF2B5EF4-FFF2-40B4-BE49-F238E27FC236}">
              <a16:creationId xmlns:a16="http://schemas.microsoft.com/office/drawing/2014/main" id="{A31F5DEF-13F8-4956-BEB0-4FC9915D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49" name="Imagen 9931" descr="http://www.icbf.gov.co/images/pobtrans.gif">
          <a:extLst>
            <a:ext uri="{FF2B5EF4-FFF2-40B4-BE49-F238E27FC236}">
              <a16:creationId xmlns:a16="http://schemas.microsoft.com/office/drawing/2014/main" id="{FD1E6431-3886-4C07-9275-A61EB3E2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0" name="Imagen 10425" descr="http://www.icbf.gov.co/images/pobtrans.gif">
          <a:extLst>
            <a:ext uri="{FF2B5EF4-FFF2-40B4-BE49-F238E27FC236}">
              <a16:creationId xmlns:a16="http://schemas.microsoft.com/office/drawing/2014/main" id="{319E3227-013A-4ACA-9547-7A46F701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1" name="Imagen 10665" descr="http://www.icbf.gov.co/images/pobtrans.gif">
          <a:extLst>
            <a:ext uri="{FF2B5EF4-FFF2-40B4-BE49-F238E27FC236}">
              <a16:creationId xmlns:a16="http://schemas.microsoft.com/office/drawing/2014/main" id="{A26C9E99-1636-42B0-905E-95F281FA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2" name="Imagen 12565" descr="http://www.icbf.gov.co/images/pobtrans.gif">
          <a:extLst>
            <a:ext uri="{FF2B5EF4-FFF2-40B4-BE49-F238E27FC236}">
              <a16:creationId xmlns:a16="http://schemas.microsoft.com/office/drawing/2014/main" id="{3F6EEB59-98DF-41BF-8462-8761CF54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3" name="Imagen 12591" descr="http://www.icbf.gov.co/images/pobtrans.gif">
          <a:extLst>
            <a:ext uri="{FF2B5EF4-FFF2-40B4-BE49-F238E27FC236}">
              <a16:creationId xmlns:a16="http://schemas.microsoft.com/office/drawing/2014/main" id="{D9D1C00D-3862-4AD8-AE24-83C5C1A0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4" name="Imagen 12605" descr="http://www.icbf.gov.co/images/pobtrans.gif">
          <a:extLst>
            <a:ext uri="{FF2B5EF4-FFF2-40B4-BE49-F238E27FC236}">
              <a16:creationId xmlns:a16="http://schemas.microsoft.com/office/drawing/2014/main" id="{83EACE84-804F-47EC-958A-87A31993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5" name="Imagen 12623" descr="http://www.icbf.gov.co/images/pobtrans.gif">
          <a:extLst>
            <a:ext uri="{FF2B5EF4-FFF2-40B4-BE49-F238E27FC236}">
              <a16:creationId xmlns:a16="http://schemas.microsoft.com/office/drawing/2014/main" id="{FCD54113-7137-4840-AB43-AD4FC063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6" name="Imagen 12635" descr="http://www.icbf.gov.co/images/pobtrans.gif">
          <a:extLst>
            <a:ext uri="{FF2B5EF4-FFF2-40B4-BE49-F238E27FC236}">
              <a16:creationId xmlns:a16="http://schemas.microsoft.com/office/drawing/2014/main" id="{A49BBD37-5868-47E0-9058-433FC1AA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7" name="Imagen 12645" descr="http://www.icbf.gov.co/images/pobtrans.gif">
          <a:extLst>
            <a:ext uri="{FF2B5EF4-FFF2-40B4-BE49-F238E27FC236}">
              <a16:creationId xmlns:a16="http://schemas.microsoft.com/office/drawing/2014/main" id="{5E38A566-4046-4799-95E4-00BEFF6B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8" name="Imagen 12651" descr="http://www.icbf.gov.co/images/pobtrans.gif">
          <a:extLst>
            <a:ext uri="{FF2B5EF4-FFF2-40B4-BE49-F238E27FC236}">
              <a16:creationId xmlns:a16="http://schemas.microsoft.com/office/drawing/2014/main" id="{112834E0-6D73-4E42-BEE5-90D69A6F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59" name="Imagen 13130" descr="http://www.icbf.gov.co/images/pobtrans.gif">
          <a:extLst>
            <a:ext uri="{FF2B5EF4-FFF2-40B4-BE49-F238E27FC236}">
              <a16:creationId xmlns:a16="http://schemas.microsoft.com/office/drawing/2014/main" id="{CB241672-D3E2-460B-A7B7-7D51B390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0" name="Imagen 13576" descr="http://www.icbf.gov.co/images/pobtrans.gif">
          <a:extLst>
            <a:ext uri="{FF2B5EF4-FFF2-40B4-BE49-F238E27FC236}">
              <a16:creationId xmlns:a16="http://schemas.microsoft.com/office/drawing/2014/main" id="{C829055B-FCDD-4486-88AF-17DB11C1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1" name="Imagen 13599" descr="http://www.icbf.gov.co/images/pobtrans.gif">
          <a:extLst>
            <a:ext uri="{FF2B5EF4-FFF2-40B4-BE49-F238E27FC236}">
              <a16:creationId xmlns:a16="http://schemas.microsoft.com/office/drawing/2014/main" id="{808341C9-66DB-42C8-A021-B523D80D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2" name="Imagen 13600" descr="http://www.icbf.gov.co/images/pobtrans.gif">
          <a:extLst>
            <a:ext uri="{FF2B5EF4-FFF2-40B4-BE49-F238E27FC236}">
              <a16:creationId xmlns:a16="http://schemas.microsoft.com/office/drawing/2014/main" id="{ECC224D0-5B7E-48DB-BA12-DB3F658F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3" name="Imagen 13603" descr="http://www.icbf.gov.co/images/pobtrans.gif">
          <a:extLst>
            <a:ext uri="{FF2B5EF4-FFF2-40B4-BE49-F238E27FC236}">
              <a16:creationId xmlns:a16="http://schemas.microsoft.com/office/drawing/2014/main" id="{ABE2BFAC-876A-48C3-A5F6-7935CD10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4" name="Imagen 13611" descr="http://www.icbf.gov.co/images/pobtrans.gif">
          <a:extLst>
            <a:ext uri="{FF2B5EF4-FFF2-40B4-BE49-F238E27FC236}">
              <a16:creationId xmlns:a16="http://schemas.microsoft.com/office/drawing/2014/main" id="{A6315835-709E-413A-81F1-613822DAF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5" name="Imagen 13903" descr="http://www.icbf.gov.co/images/pobtrans.gif">
          <a:extLst>
            <a:ext uri="{FF2B5EF4-FFF2-40B4-BE49-F238E27FC236}">
              <a16:creationId xmlns:a16="http://schemas.microsoft.com/office/drawing/2014/main" id="{8BC70F6C-0F11-444F-A6FA-BB291F72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6" name="Imagen 13983" descr="http://www.icbf.gov.co/images/pobtrans.gif">
          <a:extLst>
            <a:ext uri="{FF2B5EF4-FFF2-40B4-BE49-F238E27FC236}">
              <a16:creationId xmlns:a16="http://schemas.microsoft.com/office/drawing/2014/main" id="{84CD4535-2D07-4C57-AECC-99DBF75F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7" name="Imagen 14387" descr="http://www.icbf.gov.co/images/pobtrans.gif">
          <a:extLst>
            <a:ext uri="{FF2B5EF4-FFF2-40B4-BE49-F238E27FC236}">
              <a16:creationId xmlns:a16="http://schemas.microsoft.com/office/drawing/2014/main" id="{92F21E43-9F25-4B70-A890-3F5955EE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8" name="Imagen 14460" descr="http://www.icbf.gov.co/images/pobtrans.gif">
          <a:extLst>
            <a:ext uri="{FF2B5EF4-FFF2-40B4-BE49-F238E27FC236}">
              <a16:creationId xmlns:a16="http://schemas.microsoft.com/office/drawing/2014/main" id="{2E663DCE-F648-446A-ABEB-9A1F06DF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69" name="Imagen 14689" descr="http://www.icbf.gov.co/images/pobtrans.gif">
          <a:extLst>
            <a:ext uri="{FF2B5EF4-FFF2-40B4-BE49-F238E27FC236}">
              <a16:creationId xmlns:a16="http://schemas.microsoft.com/office/drawing/2014/main" id="{0F66316A-2582-40B9-B3AE-0535EF6C5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0" name="Imagen 14884" descr="http://www.icbf.gov.co/images/pobtrans.gif">
          <a:extLst>
            <a:ext uri="{FF2B5EF4-FFF2-40B4-BE49-F238E27FC236}">
              <a16:creationId xmlns:a16="http://schemas.microsoft.com/office/drawing/2014/main" id="{C55F4833-0C5A-4F2F-8B78-4BDDBDF8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1" name="Imagen 15080" descr="http://www.icbf.gov.co/images/pobtrans.gif">
          <a:extLst>
            <a:ext uri="{FF2B5EF4-FFF2-40B4-BE49-F238E27FC236}">
              <a16:creationId xmlns:a16="http://schemas.microsoft.com/office/drawing/2014/main" id="{001596B2-DBA8-4DE1-9C3B-1AE9716F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2" name="Imagen 15397" descr="http://www.icbf.gov.co/images/pobtrans.gif">
          <a:extLst>
            <a:ext uri="{FF2B5EF4-FFF2-40B4-BE49-F238E27FC236}">
              <a16:creationId xmlns:a16="http://schemas.microsoft.com/office/drawing/2014/main" id="{6F92A956-930A-4A69-9D5E-C802D1FA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3" name="Imagen 15538" descr="http://www.icbf.gov.co/images/pobtrans.gif">
          <a:extLst>
            <a:ext uri="{FF2B5EF4-FFF2-40B4-BE49-F238E27FC236}">
              <a16:creationId xmlns:a16="http://schemas.microsoft.com/office/drawing/2014/main" id="{CA37B769-24B6-45ED-9819-2A48616F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4" name="Imagen 15814" descr="http://www.icbf.gov.co/images/pobtrans.gif">
          <a:extLst>
            <a:ext uri="{FF2B5EF4-FFF2-40B4-BE49-F238E27FC236}">
              <a16:creationId xmlns:a16="http://schemas.microsoft.com/office/drawing/2014/main" id="{AC80B474-DAD6-444E-9D23-45273637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5" name="Imagen 15817" descr="http://www.icbf.gov.co/images/pobtrans.gif">
          <a:extLst>
            <a:ext uri="{FF2B5EF4-FFF2-40B4-BE49-F238E27FC236}">
              <a16:creationId xmlns:a16="http://schemas.microsoft.com/office/drawing/2014/main" id="{5C39706A-4BC2-4CC5-8BBD-16833BF81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6" name="Imagen 16193" descr="http://www.icbf.gov.co/images/pobtrans.gif">
          <a:extLst>
            <a:ext uri="{FF2B5EF4-FFF2-40B4-BE49-F238E27FC236}">
              <a16:creationId xmlns:a16="http://schemas.microsoft.com/office/drawing/2014/main" id="{D337266A-E80E-4A74-ACC4-E7C432FE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7" name="Imagen 16273" descr="http://www.icbf.gov.co/images/pobtrans.gif">
          <a:extLst>
            <a:ext uri="{FF2B5EF4-FFF2-40B4-BE49-F238E27FC236}">
              <a16:creationId xmlns:a16="http://schemas.microsoft.com/office/drawing/2014/main" id="{4E705663-E8B3-4B2F-92D3-7E7A6FA19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8" name="Imagen 16503" descr="http://www.icbf.gov.co/images/pobtrans.gif">
          <a:extLst>
            <a:ext uri="{FF2B5EF4-FFF2-40B4-BE49-F238E27FC236}">
              <a16:creationId xmlns:a16="http://schemas.microsoft.com/office/drawing/2014/main" id="{8C4C9F87-0B7E-4B7F-86BD-00A393AD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79" name="Imagen 16724" descr="http://www.icbf.gov.co/images/pobtrans.gif">
          <a:extLst>
            <a:ext uri="{FF2B5EF4-FFF2-40B4-BE49-F238E27FC236}">
              <a16:creationId xmlns:a16="http://schemas.microsoft.com/office/drawing/2014/main" id="{DB3A2422-E801-4F90-A7B5-EEA5644D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0" name="Imagen 17478" descr="http://www.icbf.gov.co/images/pobtrans.gif">
          <a:extLst>
            <a:ext uri="{FF2B5EF4-FFF2-40B4-BE49-F238E27FC236}">
              <a16:creationId xmlns:a16="http://schemas.microsoft.com/office/drawing/2014/main" id="{27124729-2A70-44F2-B549-574A34E7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1" name="Imagen 17640" descr="http://www.icbf.gov.co/images/pobtrans.gif">
          <a:extLst>
            <a:ext uri="{FF2B5EF4-FFF2-40B4-BE49-F238E27FC236}">
              <a16:creationId xmlns:a16="http://schemas.microsoft.com/office/drawing/2014/main" id="{56B78EE8-1A7E-488B-85F4-6A944D7A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2" name="Imagen 17642" descr="http://www.icbf.gov.co/images/pobtrans.gif">
          <a:extLst>
            <a:ext uri="{FF2B5EF4-FFF2-40B4-BE49-F238E27FC236}">
              <a16:creationId xmlns:a16="http://schemas.microsoft.com/office/drawing/2014/main" id="{1A11AB94-7B13-4E01-AB46-724102DA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3" name="Imagen 19004" descr="http://www.icbf.gov.co/images/pobtrans.gif">
          <a:extLst>
            <a:ext uri="{FF2B5EF4-FFF2-40B4-BE49-F238E27FC236}">
              <a16:creationId xmlns:a16="http://schemas.microsoft.com/office/drawing/2014/main" id="{55299D2D-EE2B-4DF4-B7BB-56498002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4" name="Imagen 19474" descr="http://www.icbf.gov.co/images/pobtrans.gif">
          <a:extLst>
            <a:ext uri="{FF2B5EF4-FFF2-40B4-BE49-F238E27FC236}">
              <a16:creationId xmlns:a16="http://schemas.microsoft.com/office/drawing/2014/main" id="{2A3875F7-767A-4114-8E40-80F5D774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5" name="Imagen 19708" descr="http://www.icbf.gov.co/images/pobtrans.gif">
          <a:extLst>
            <a:ext uri="{FF2B5EF4-FFF2-40B4-BE49-F238E27FC236}">
              <a16:creationId xmlns:a16="http://schemas.microsoft.com/office/drawing/2014/main" id="{0DCB14FF-724D-4AD6-878A-EA151A76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6" name="Imagen 19720" descr="http://www.icbf.gov.co/images/pobtrans.gif">
          <a:extLst>
            <a:ext uri="{FF2B5EF4-FFF2-40B4-BE49-F238E27FC236}">
              <a16:creationId xmlns:a16="http://schemas.microsoft.com/office/drawing/2014/main" id="{192D0945-728B-4A73-836F-B31056E9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7" name="Imagen 19739" descr="http://www.icbf.gov.co/images/pobtrans.gif">
          <a:extLst>
            <a:ext uri="{FF2B5EF4-FFF2-40B4-BE49-F238E27FC236}">
              <a16:creationId xmlns:a16="http://schemas.microsoft.com/office/drawing/2014/main" id="{8676D82C-7D8D-442B-A53C-18E8E8A8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8" name="Imagen 19765" descr="http://www.icbf.gov.co/images/pobtrans.gif">
          <a:extLst>
            <a:ext uri="{FF2B5EF4-FFF2-40B4-BE49-F238E27FC236}">
              <a16:creationId xmlns:a16="http://schemas.microsoft.com/office/drawing/2014/main" id="{2763C08E-CC55-413A-9583-B5444617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89" name="Imagen 19774" descr="http://www.icbf.gov.co/images/pobtrans.gif">
          <a:extLst>
            <a:ext uri="{FF2B5EF4-FFF2-40B4-BE49-F238E27FC236}">
              <a16:creationId xmlns:a16="http://schemas.microsoft.com/office/drawing/2014/main" id="{EB1965E5-9FCD-4F56-B740-0979C447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0" name="Imagen 20425" descr="http://www.icbf.gov.co/images/pobtrans.gif">
          <a:extLst>
            <a:ext uri="{FF2B5EF4-FFF2-40B4-BE49-F238E27FC236}">
              <a16:creationId xmlns:a16="http://schemas.microsoft.com/office/drawing/2014/main" id="{E3020613-41E7-4EA1-9109-2819A0AF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1" name="Imagen 20722" descr="http://www.icbf.gov.co/images/pobtrans.gif">
          <a:extLst>
            <a:ext uri="{FF2B5EF4-FFF2-40B4-BE49-F238E27FC236}">
              <a16:creationId xmlns:a16="http://schemas.microsoft.com/office/drawing/2014/main" id="{013FA89B-5B53-4DF5-B65B-A2861F8F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2" name="Imagen 20732" descr="http://www.icbf.gov.co/images/pobtrans.gif">
          <a:extLst>
            <a:ext uri="{FF2B5EF4-FFF2-40B4-BE49-F238E27FC236}">
              <a16:creationId xmlns:a16="http://schemas.microsoft.com/office/drawing/2014/main" id="{C358CF8D-1537-4073-9050-9D435DC2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3" name="Imagen 21759" descr="http://www.icbf.gov.co/images/pobtrans.gif">
          <a:extLst>
            <a:ext uri="{FF2B5EF4-FFF2-40B4-BE49-F238E27FC236}">
              <a16:creationId xmlns:a16="http://schemas.microsoft.com/office/drawing/2014/main" id="{A7CA843E-BD59-46EC-AAF9-B967275C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4" name="Imagen 21761" descr="http://www.icbf.gov.co/images/pobtrans.gif">
          <a:extLst>
            <a:ext uri="{FF2B5EF4-FFF2-40B4-BE49-F238E27FC236}">
              <a16:creationId xmlns:a16="http://schemas.microsoft.com/office/drawing/2014/main" id="{91ED5CEF-786C-46EA-BDBA-ABE62DC1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5" name="Imagen 22260" descr="http://www.icbf.gov.co/images/pobtrans.gif">
          <a:extLst>
            <a:ext uri="{FF2B5EF4-FFF2-40B4-BE49-F238E27FC236}">
              <a16:creationId xmlns:a16="http://schemas.microsoft.com/office/drawing/2014/main" id="{81597772-6D12-4350-A9A4-1336BC84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6" name="Imagen 22263" descr="http://www.icbf.gov.co/images/pobtrans.gif">
          <a:extLst>
            <a:ext uri="{FF2B5EF4-FFF2-40B4-BE49-F238E27FC236}">
              <a16:creationId xmlns:a16="http://schemas.microsoft.com/office/drawing/2014/main" id="{AA29B68E-051B-4F24-84FD-AF92BE39E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7" name="Imagen 22421" descr="http://www.icbf.gov.co/images/pobtrans.gif">
          <a:extLst>
            <a:ext uri="{FF2B5EF4-FFF2-40B4-BE49-F238E27FC236}">
              <a16:creationId xmlns:a16="http://schemas.microsoft.com/office/drawing/2014/main" id="{C77447B5-0D52-4F0B-948F-C7971394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8" name="Imagen 22513" descr="http://www.icbf.gov.co/images/pobtrans.gif">
          <a:extLst>
            <a:ext uri="{FF2B5EF4-FFF2-40B4-BE49-F238E27FC236}">
              <a16:creationId xmlns:a16="http://schemas.microsoft.com/office/drawing/2014/main" id="{BF068661-379B-43A7-97ED-1371C07C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99" name="Imagen 22526" descr="http://www.icbf.gov.co/images/pobtrans.gif">
          <a:extLst>
            <a:ext uri="{FF2B5EF4-FFF2-40B4-BE49-F238E27FC236}">
              <a16:creationId xmlns:a16="http://schemas.microsoft.com/office/drawing/2014/main" id="{A97D38E0-9726-4085-9CC4-B5F102B3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0" name="Imagen 22532" descr="http://www.icbf.gov.co/images/pobtrans.gif">
          <a:extLst>
            <a:ext uri="{FF2B5EF4-FFF2-40B4-BE49-F238E27FC236}">
              <a16:creationId xmlns:a16="http://schemas.microsoft.com/office/drawing/2014/main" id="{D6E8D062-9EF6-4563-ABFA-5FAC97B3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1" name="Imagen 22541" descr="http://www.icbf.gov.co/images/pobtrans.gif">
          <a:extLst>
            <a:ext uri="{FF2B5EF4-FFF2-40B4-BE49-F238E27FC236}">
              <a16:creationId xmlns:a16="http://schemas.microsoft.com/office/drawing/2014/main" id="{5746FB13-9BC1-4A7E-8930-AAEB96F8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2" name="Imagen 22616" descr="http://www.icbf.gov.co/images/pobtrans.gif">
          <a:extLst>
            <a:ext uri="{FF2B5EF4-FFF2-40B4-BE49-F238E27FC236}">
              <a16:creationId xmlns:a16="http://schemas.microsoft.com/office/drawing/2014/main" id="{22EC0B2F-2572-42F7-901A-E20287B1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3" name="Imagen 24926" descr="http://www.icbf.gov.co/images/pobtrans.gif">
          <a:extLst>
            <a:ext uri="{FF2B5EF4-FFF2-40B4-BE49-F238E27FC236}">
              <a16:creationId xmlns:a16="http://schemas.microsoft.com/office/drawing/2014/main" id="{FEFE76FD-281C-46A5-894F-16EEE691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4" name="Imagen 25180" descr="http://www.icbf.gov.co/images/pobtrans.gif">
          <a:extLst>
            <a:ext uri="{FF2B5EF4-FFF2-40B4-BE49-F238E27FC236}">
              <a16:creationId xmlns:a16="http://schemas.microsoft.com/office/drawing/2014/main" id="{B95AD474-2627-4A69-BFED-4D1BC9F2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5" name="Imagen 26352" descr="http://www.icbf.gov.co/images/pobtrans.gif">
          <a:extLst>
            <a:ext uri="{FF2B5EF4-FFF2-40B4-BE49-F238E27FC236}">
              <a16:creationId xmlns:a16="http://schemas.microsoft.com/office/drawing/2014/main" id="{7FEAAFAF-5486-4EB1-BFB4-5CCD5915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6" name="Imagen 26386" descr="http://www.icbf.gov.co/images/pobtrans.gif">
          <a:extLst>
            <a:ext uri="{FF2B5EF4-FFF2-40B4-BE49-F238E27FC236}">
              <a16:creationId xmlns:a16="http://schemas.microsoft.com/office/drawing/2014/main" id="{7A478F3C-5EFE-4022-A1BB-E5554A8F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7" name="Imagen 26401" descr="http://www.icbf.gov.co/images/pobtrans.gif">
          <a:extLst>
            <a:ext uri="{FF2B5EF4-FFF2-40B4-BE49-F238E27FC236}">
              <a16:creationId xmlns:a16="http://schemas.microsoft.com/office/drawing/2014/main" id="{692A88E6-7B91-4611-8151-592BD7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8" name="Imagen 26411" descr="http://www.icbf.gov.co/images/pobtrans.gif">
          <a:extLst>
            <a:ext uri="{FF2B5EF4-FFF2-40B4-BE49-F238E27FC236}">
              <a16:creationId xmlns:a16="http://schemas.microsoft.com/office/drawing/2014/main" id="{6232331F-5911-4023-A668-51A5BEC6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09" name="Imagen 26420" descr="http://www.icbf.gov.co/images/pobtrans.gif">
          <a:extLst>
            <a:ext uri="{FF2B5EF4-FFF2-40B4-BE49-F238E27FC236}">
              <a16:creationId xmlns:a16="http://schemas.microsoft.com/office/drawing/2014/main" id="{2E9CE79F-4282-48B9-9A4A-C7375F0B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0" name="Imagen 26433" descr="http://www.icbf.gov.co/images/pobtrans.gif">
          <a:extLst>
            <a:ext uri="{FF2B5EF4-FFF2-40B4-BE49-F238E27FC236}">
              <a16:creationId xmlns:a16="http://schemas.microsoft.com/office/drawing/2014/main" id="{B6C38221-E5F6-41C4-8B59-367458ED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1" name="Imagen 26468" descr="http://www.icbf.gov.co/images/pobtrans.gif">
          <a:extLst>
            <a:ext uri="{FF2B5EF4-FFF2-40B4-BE49-F238E27FC236}">
              <a16:creationId xmlns:a16="http://schemas.microsoft.com/office/drawing/2014/main" id="{C7BCF44B-8A68-4A0C-8DE5-522F6761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2" name="Imagen 26473" descr="http://www.icbf.gov.co/images/pobtrans.gif">
          <a:extLst>
            <a:ext uri="{FF2B5EF4-FFF2-40B4-BE49-F238E27FC236}">
              <a16:creationId xmlns:a16="http://schemas.microsoft.com/office/drawing/2014/main" id="{C9ED2E53-844B-42B5-B0A1-2C8E174D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3" name="Imagen 26476" descr="http://www.icbf.gov.co/images/pobtrans.gif">
          <a:extLst>
            <a:ext uri="{FF2B5EF4-FFF2-40B4-BE49-F238E27FC236}">
              <a16:creationId xmlns:a16="http://schemas.microsoft.com/office/drawing/2014/main" id="{EAB172A3-0E6C-4033-BADD-851BCBB5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4" name="Imagen 26583" descr="http://www.icbf.gov.co/images/pobtrans.gif">
          <a:extLst>
            <a:ext uri="{FF2B5EF4-FFF2-40B4-BE49-F238E27FC236}">
              <a16:creationId xmlns:a16="http://schemas.microsoft.com/office/drawing/2014/main" id="{EFAECDB4-38E8-417A-AFFC-98A25BF6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5" name="Imagen 26594" descr="http://www.icbf.gov.co/images/pobtrans.gif">
          <a:extLst>
            <a:ext uri="{FF2B5EF4-FFF2-40B4-BE49-F238E27FC236}">
              <a16:creationId xmlns:a16="http://schemas.microsoft.com/office/drawing/2014/main" id="{BE90E480-A5A9-49A0-B3FB-A0E811EA1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6" name="Imagen 26605" descr="http://www.icbf.gov.co/images/pobtrans.gif">
          <a:extLst>
            <a:ext uri="{FF2B5EF4-FFF2-40B4-BE49-F238E27FC236}">
              <a16:creationId xmlns:a16="http://schemas.microsoft.com/office/drawing/2014/main" id="{1136AC8D-B7E0-4206-BA54-CF3EE044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7" name="Imagen 26617" descr="http://www.icbf.gov.co/images/pobtrans.gif">
          <a:extLst>
            <a:ext uri="{FF2B5EF4-FFF2-40B4-BE49-F238E27FC236}">
              <a16:creationId xmlns:a16="http://schemas.microsoft.com/office/drawing/2014/main" id="{2C4040C0-A475-496D-99F8-6EEC05DD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8" name="Imagen 26634" descr="http://www.icbf.gov.co/images/pobtrans.gif">
          <a:extLst>
            <a:ext uri="{FF2B5EF4-FFF2-40B4-BE49-F238E27FC236}">
              <a16:creationId xmlns:a16="http://schemas.microsoft.com/office/drawing/2014/main" id="{D5B75663-B757-4F16-A244-BE77967F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19" name="Imagen 26666" descr="http://www.icbf.gov.co/images/pobtrans.gif">
          <a:extLst>
            <a:ext uri="{FF2B5EF4-FFF2-40B4-BE49-F238E27FC236}">
              <a16:creationId xmlns:a16="http://schemas.microsoft.com/office/drawing/2014/main" id="{FCA51358-F513-4AD4-AECC-A875CDE9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0" name="Imagen 26687" descr="http://www.icbf.gov.co/images/pobtrans.gif">
          <a:extLst>
            <a:ext uri="{FF2B5EF4-FFF2-40B4-BE49-F238E27FC236}">
              <a16:creationId xmlns:a16="http://schemas.microsoft.com/office/drawing/2014/main" id="{09804CD4-7FFE-40B5-8C6A-1D965152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1" name="Imagen 26713" descr="http://www.icbf.gov.co/images/pobtrans.gif">
          <a:extLst>
            <a:ext uri="{FF2B5EF4-FFF2-40B4-BE49-F238E27FC236}">
              <a16:creationId xmlns:a16="http://schemas.microsoft.com/office/drawing/2014/main" id="{4DE23A36-A358-43C8-B419-642E2727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2" name="Imagen 26726" descr="http://www.icbf.gov.co/images/pobtrans.gif">
          <a:extLst>
            <a:ext uri="{FF2B5EF4-FFF2-40B4-BE49-F238E27FC236}">
              <a16:creationId xmlns:a16="http://schemas.microsoft.com/office/drawing/2014/main" id="{7BDED8EB-25F8-4964-8151-DBA2D974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3" name="Imagen 27432" descr="http://www.icbf.gov.co/images/pobtrans.gif">
          <a:extLst>
            <a:ext uri="{FF2B5EF4-FFF2-40B4-BE49-F238E27FC236}">
              <a16:creationId xmlns:a16="http://schemas.microsoft.com/office/drawing/2014/main" id="{3170DAAF-8267-4A25-86CF-099E3DA0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4" name="Imagen 29931" descr="http://www.icbf.gov.co/images/pobtrans.gif">
          <a:extLst>
            <a:ext uri="{FF2B5EF4-FFF2-40B4-BE49-F238E27FC236}">
              <a16:creationId xmlns:a16="http://schemas.microsoft.com/office/drawing/2014/main" id="{9D9AD759-0067-412E-ADDC-C2A3F689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5" name="Imagen 29941" descr="http://www.icbf.gov.co/images/pobtrans.gif">
          <a:extLst>
            <a:ext uri="{FF2B5EF4-FFF2-40B4-BE49-F238E27FC236}">
              <a16:creationId xmlns:a16="http://schemas.microsoft.com/office/drawing/2014/main" id="{24B66F3C-C159-44D3-9133-D621B1CD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6" name="Imagen 29990" descr="http://www.icbf.gov.co/images/pobtrans.gif">
          <a:extLst>
            <a:ext uri="{FF2B5EF4-FFF2-40B4-BE49-F238E27FC236}">
              <a16:creationId xmlns:a16="http://schemas.microsoft.com/office/drawing/2014/main" id="{577F50F3-8B5F-471C-94F2-EB686F93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7" name="Imagen 30000" descr="http://www.icbf.gov.co/images/pobtrans.gif">
          <a:extLst>
            <a:ext uri="{FF2B5EF4-FFF2-40B4-BE49-F238E27FC236}">
              <a16:creationId xmlns:a16="http://schemas.microsoft.com/office/drawing/2014/main" id="{7F680F4F-E004-4438-BCE1-C7A0B39C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8" name="Imagen 30062" descr="http://www.icbf.gov.co/images/pobtrans.gif">
          <a:extLst>
            <a:ext uri="{FF2B5EF4-FFF2-40B4-BE49-F238E27FC236}">
              <a16:creationId xmlns:a16="http://schemas.microsoft.com/office/drawing/2014/main" id="{59F4DF32-590B-4FA6-BCE0-843B8D77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29" name="Imagen 30457" descr="http://www.icbf.gov.co/images/pobtrans.gif">
          <a:extLst>
            <a:ext uri="{FF2B5EF4-FFF2-40B4-BE49-F238E27FC236}">
              <a16:creationId xmlns:a16="http://schemas.microsoft.com/office/drawing/2014/main" id="{C81CBA7B-C11B-4C1C-B4DA-628D588B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0" name="Imagen 30467" descr="http://www.icbf.gov.co/images/pobtrans.gif">
          <a:extLst>
            <a:ext uri="{FF2B5EF4-FFF2-40B4-BE49-F238E27FC236}">
              <a16:creationId xmlns:a16="http://schemas.microsoft.com/office/drawing/2014/main" id="{5EF037EB-22E1-4F5D-A32B-01662172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1" name="Imagen 30991" descr="http://www.icbf.gov.co/images/pobtrans.gif">
          <a:extLst>
            <a:ext uri="{FF2B5EF4-FFF2-40B4-BE49-F238E27FC236}">
              <a16:creationId xmlns:a16="http://schemas.microsoft.com/office/drawing/2014/main" id="{9EA48185-396B-4816-A2B5-FDC6F3FF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2" name="Imagen 31612" descr="http://www.icbf.gov.co/images/pobtrans.gif">
          <a:extLst>
            <a:ext uri="{FF2B5EF4-FFF2-40B4-BE49-F238E27FC236}">
              <a16:creationId xmlns:a16="http://schemas.microsoft.com/office/drawing/2014/main" id="{69625D8D-EB87-4F37-A5A3-CEE38653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3" name="Imagen 31624" descr="http://www.icbf.gov.co/images/pobtrans.gif">
          <a:extLst>
            <a:ext uri="{FF2B5EF4-FFF2-40B4-BE49-F238E27FC236}">
              <a16:creationId xmlns:a16="http://schemas.microsoft.com/office/drawing/2014/main" id="{7C0A6A16-FE26-46D4-9604-BC1A887AC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4" name="Imagen 32047" descr="http://www.icbf.gov.co/images/pobtrans.gif">
          <a:extLst>
            <a:ext uri="{FF2B5EF4-FFF2-40B4-BE49-F238E27FC236}">
              <a16:creationId xmlns:a16="http://schemas.microsoft.com/office/drawing/2014/main" id="{4B2B1488-9DEC-420F-9A05-05149F1C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5" name="Imagen 32272" descr="http://www.icbf.gov.co/images/pobtrans.gif">
          <a:extLst>
            <a:ext uri="{FF2B5EF4-FFF2-40B4-BE49-F238E27FC236}">
              <a16:creationId xmlns:a16="http://schemas.microsoft.com/office/drawing/2014/main" id="{E7342DB9-21DE-4074-ABF2-76E0451C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6" name="Imagen 32612" descr="http://www.icbf.gov.co/images/pobtrans.gif">
          <a:extLst>
            <a:ext uri="{FF2B5EF4-FFF2-40B4-BE49-F238E27FC236}">
              <a16:creationId xmlns:a16="http://schemas.microsoft.com/office/drawing/2014/main" id="{FCCDEC04-A7CD-415C-9A92-F2BA9D14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7" name="Imagen 32881" descr="http://www.icbf.gov.co/images/pobtrans.gif">
          <a:extLst>
            <a:ext uri="{FF2B5EF4-FFF2-40B4-BE49-F238E27FC236}">
              <a16:creationId xmlns:a16="http://schemas.microsoft.com/office/drawing/2014/main" id="{B532187A-F863-4599-B69D-89962E4A9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8" name="Imagen 34363" descr="http://www.icbf.gov.co/images/pobtrans.gif">
          <a:extLst>
            <a:ext uri="{FF2B5EF4-FFF2-40B4-BE49-F238E27FC236}">
              <a16:creationId xmlns:a16="http://schemas.microsoft.com/office/drawing/2014/main" id="{DC04AD68-7B9F-4626-8D11-D9909614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39" name="Imagen 34367" descr="http://www.icbf.gov.co/images/pobtrans.gif">
          <a:extLst>
            <a:ext uri="{FF2B5EF4-FFF2-40B4-BE49-F238E27FC236}">
              <a16:creationId xmlns:a16="http://schemas.microsoft.com/office/drawing/2014/main" id="{FD421E74-6BC1-4429-A10F-857C9DCD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0" name="Imagen 34608" descr="http://www.icbf.gov.co/images/pobtrans.gif">
          <a:extLst>
            <a:ext uri="{FF2B5EF4-FFF2-40B4-BE49-F238E27FC236}">
              <a16:creationId xmlns:a16="http://schemas.microsoft.com/office/drawing/2014/main" id="{C5DD195A-853C-43BE-A98B-B15FF961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1" name="Imagen 35048" descr="http://www.icbf.gov.co/images/pobtrans.gif">
          <a:extLst>
            <a:ext uri="{FF2B5EF4-FFF2-40B4-BE49-F238E27FC236}">
              <a16:creationId xmlns:a16="http://schemas.microsoft.com/office/drawing/2014/main" id="{0561733B-E82B-4935-B957-5D4BB5273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2" name="Imagen 35978" descr="http://www.icbf.gov.co/images/pobtrans.gif">
          <a:extLst>
            <a:ext uri="{FF2B5EF4-FFF2-40B4-BE49-F238E27FC236}">
              <a16:creationId xmlns:a16="http://schemas.microsoft.com/office/drawing/2014/main" id="{C897F94E-55AC-45E9-8729-7BDD0821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3" name="Imagen 36001" descr="http://www.icbf.gov.co/images/pobtrans.gif">
          <a:extLst>
            <a:ext uri="{FF2B5EF4-FFF2-40B4-BE49-F238E27FC236}">
              <a16:creationId xmlns:a16="http://schemas.microsoft.com/office/drawing/2014/main" id="{F7BA0E25-87C9-4973-8635-37A5B2CF4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4" name="Imagen 36006" descr="http://www.icbf.gov.co/images/pobtrans.gif">
          <a:extLst>
            <a:ext uri="{FF2B5EF4-FFF2-40B4-BE49-F238E27FC236}">
              <a16:creationId xmlns:a16="http://schemas.microsoft.com/office/drawing/2014/main" id="{2FEE803A-DF35-4F0A-9216-F280FE4B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5" name="Imagen 36010" descr="http://www.icbf.gov.co/images/pobtrans.gif">
          <a:extLst>
            <a:ext uri="{FF2B5EF4-FFF2-40B4-BE49-F238E27FC236}">
              <a16:creationId xmlns:a16="http://schemas.microsoft.com/office/drawing/2014/main" id="{A5AB660D-5703-4866-9351-A6322F5D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6" name="Imagen 36018" descr="http://www.icbf.gov.co/images/pobtrans.gif">
          <a:extLst>
            <a:ext uri="{FF2B5EF4-FFF2-40B4-BE49-F238E27FC236}">
              <a16:creationId xmlns:a16="http://schemas.microsoft.com/office/drawing/2014/main" id="{274B89F4-2B5C-42FE-8537-115BE9BD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2309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114300</xdr:rowOff>
    </xdr:to>
    <xdr:pic>
      <xdr:nvPicPr>
        <xdr:cNvPr id="147" name="Imagen 36027" descr="http://www.icbf.gov.co/images/pobtrans.gif">
          <a:extLst>
            <a:ext uri="{FF2B5EF4-FFF2-40B4-BE49-F238E27FC236}">
              <a16:creationId xmlns:a16="http://schemas.microsoft.com/office/drawing/2014/main" id="{8E2B2550-E3DB-4D85-96B2-9BD20232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9497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48" name="Imagen 147" descr="http://www.icbf.gov.co/images/pobtrans.gif">
          <a:extLst>
            <a:ext uri="{FF2B5EF4-FFF2-40B4-BE49-F238E27FC236}">
              <a16:creationId xmlns:a16="http://schemas.microsoft.com/office/drawing/2014/main" id="{65889645-5E19-4A32-B39F-CD178B5D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49" name="Imagen 148" descr="http://www.icbf.gov.co/images/pobtrans.gif">
          <a:extLst>
            <a:ext uri="{FF2B5EF4-FFF2-40B4-BE49-F238E27FC236}">
              <a16:creationId xmlns:a16="http://schemas.microsoft.com/office/drawing/2014/main" id="{64038F38-1A99-4C48-9035-0C96C002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0" name="Imagen 149" descr="http://www.icbf.gov.co/images/pobtrans.gif">
          <a:extLst>
            <a:ext uri="{FF2B5EF4-FFF2-40B4-BE49-F238E27FC236}">
              <a16:creationId xmlns:a16="http://schemas.microsoft.com/office/drawing/2014/main" id="{5BCA2EC8-3361-416C-B599-8F32EE81B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1" name="Imagen 150" descr="http://www.icbf.gov.co/images/pobtrans.gif">
          <a:extLst>
            <a:ext uri="{FF2B5EF4-FFF2-40B4-BE49-F238E27FC236}">
              <a16:creationId xmlns:a16="http://schemas.microsoft.com/office/drawing/2014/main" id="{D5FB2710-DDDF-44A3-A3B9-DE1E8FB2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2" name="Imagen 151" descr="http://www.icbf.gov.co/images/pobtrans.gif">
          <a:extLst>
            <a:ext uri="{FF2B5EF4-FFF2-40B4-BE49-F238E27FC236}">
              <a16:creationId xmlns:a16="http://schemas.microsoft.com/office/drawing/2014/main" id="{B722A04C-A5FB-4A12-894B-B2FE88B22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3" name="Imagen 152" descr="http://www.icbf.gov.co/images/pobtrans.gif">
          <a:extLst>
            <a:ext uri="{FF2B5EF4-FFF2-40B4-BE49-F238E27FC236}">
              <a16:creationId xmlns:a16="http://schemas.microsoft.com/office/drawing/2014/main" id="{3A683490-12F5-4C7D-A53A-4E2E9A71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4" name="Imagen 153" descr="http://www.icbf.gov.co/images/pobtrans.gif">
          <a:extLst>
            <a:ext uri="{FF2B5EF4-FFF2-40B4-BE49-F238E27FC236}">
              <a16:creationId xmlns:a16="http://schemas.microsoft.com/office/drawing/2014/main" id="{8FECD185-7005-4016-9FAA-B03D0A50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5" name="Imagen 154" descr="http://www.icbf.gov.co/images/pobtrans.gif">
          <a:extLst>
            <a:ext uri="{FF2B5EF4-FFF2-40B4-BE49-F238E27FC236}">
              <a16:creationId xmlns:a16="http://schemas.microsoft.com/office/drawing/2014/main" id="{4CE80839-BECA-4B7A-8803-1C4EC362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6" name="Imagen 155" descr="http://www.icbf.gov.co/images/pobtrans.gif">
          <a:extLst>
            <a:ext uri="{FF2B5EF4-FFF2-40B4-BE49-F238E27FC236}">
              <a16:creationId xmlns:a16="http://schemas.microsoft.com/office/drawing/2014/main" id="{FCD95C23-AFF5-4AD3-BDE7-C2532316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7" name="Imagen 156" descr="http://www.icbf.gov.co/images/pobtrans.gif">
          <a:extLst>
            <a:ext uri="{FF2B5EF4-FFF2-40B4-BE49-F238E27FC236}">
              <a16:creationId xmlns:a16="http://schemas.microsoft.com/office/drawing/2014/main" id="{2E36C6E7-F19E-4BB3-AB65-4A8B0585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8" name="Imagen 157" descr="http://www.icbf.gov.co/images/pobtrans.gif">
          <a:extLst>
            <a:ext uri="{FF2B5EF4-FFF2-40B4-BE49-F238E27FC236}">
              <a16:creationId xmlns:a16="http://schemas.microsoft.com/office/drawing/2014/main" id="{92DDF9E9-E864-4DE3-BFDD-D78CF5A1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59" name="Imagen 158" descr="http://www.icbf.gov.co/images/pobtrans.gif">
          <a:extLst>
            <a:ext uri="{FF2B5EF4-FFF2-40B4-BE49-F238E27FC236}">
              <a16:creationId xmlns:a16="http://schemas.microsoft.com/office/drawing/2014/main" id="{31516233-7010-4F6A-BF4B-9E74BE70B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0" name="Imagen 159" descr="http://www.icbf.gov.co/images/pobtrans.gif">
          <a:extLst>
            <a:ext uri="{FF2B5EF4-FFF2-40B4-BE49-F238E27FC236}">
              <a16:creationId xmlns:a16="http://schemas.microsoft.com/office/drawing/2014/main" id="{E2C22AB5-501D-4D34-80E1-C58DE31B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1" name="Imagen 160" descr="http://www.icbf.gov.co/images/pobtrans.gif">
          <a:extLst>
            <a:ext uri="{FF2B5EF4-FFF2-40B4-BE49-F238E27FC236}">
              <a16:creationId xmlns:a16="http://schemas.microsoft.com/office/drawing/2014/main" id="{828F57B0-1D66-45F3-A64C-B57AE5AF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2" name="Imagen 161" descr="http://www.icbf.gov.co/images/pobtrans.gif">
          <a:extLst>
            <a:ext uri="{FF2B5EF4-FFF2-40B4-BE49-F238E27FC236}">
              <a16:creationId xmlns:a16="http://schemas.microsoft.com/office/drawing/2014/main" id="{E7508947-F09B-422B-8AEC-DDA34A5D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3" name="Imagen 162" descr="http://www.icbf.gov.co/images/pobtrans.gif">
          <a:extLst>
            <a:ext uri="{FF2B5EF4-FFF2-40B4-BE49-F238E27FC236}">
              <a16:creationId xmlns:a16="http://schemas.microsoft.com/office/drawing/2014/main" id="{9CADA14E-F778-4062-AB2D-B34ABE28F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4" name="Imagen 163" descr="http://www.icbf.gov.co/images/pobtrans.gif">
          <a:extLst>
            <a:ext uri="{FF2B5EF4-FFF2-40B4-BE49-F238E27FC236}">
              <a16:creationId xmlns:a16="http://schemas.microsoft.com/office/drawing/2014/main" id="{A97E8EB5-DA40-4ACB-A7AD-3C0C5278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5" name="Imagen 164" descr="http://www.icbf.gov.co/images/pobtrans.gif">
          <a:extLst>
            <a:ext uri="{FF2B5EF4-FFF2-40B4-BE49-F238E27FC236}">
              <a16:creationId xmlns:a16="http://schemas.microsoft.com/office/drawing/2014/main" id="{B9B4D7FA-5A1E-4B2C-807A-31273563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6" name="Imagen 165" descr="http://www.icbf.gov.co/images/pobtrans.gif">
          <a:extLst>
            <a:ext uri="{FF2B5EF4-FFF2-40B4-BE49-F238E27FC236}">
              <a16:creationId xmlns:a16="http://schemas.microsoft.com/office/drawing/2014/main" id="{F91379BC-19FE-4DC5-AD7D-5CA79047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7" name="Imagen 166" descr="http://www.icbf.gov.co/images/pobtrans.gif">
          <a:extLst>
            <a:ext uri="{FF2B5EF4-FFF2-40B4-BE49-F238E27FC236}">
              <a16:creationId xmlns:a16="http://schemas.microsoft.com/office/drawing/2014/main" id="{81645C02-2A09-4598-BB58-6A9B7868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8" name="Imagen 167" descr="http://www.icbf.gov.co/images/pobtrans.gif">
          <a:extLst>
            <a:ext uri="{FF2B5EF4-FFF2-40B4-BE49-F238E27FC236}">
              <a16:creationId xmlns:a16="http://schemas.microsoft.com/office/drawing/2014/main" id="{E048E6CA-34BF-46D4-A3D3-2505947A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69" name="Imagen 168" descr="http://www.icbf.gov.co/images/pobtrans.gif">
          <a:extLst>
            <a:ext uri="{FF2B5EF4-FFF2-40B4-BE49-F238E27FC236}">
              <a16:creationId xmlns:a16="http://schemas.microsoft.com/office/drawing/2014/main" id="{3E71D975-5F1C-453E-A334-1368B31D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0" name="Imagen 169" descr="http://www.icbf.gov.co/images/pobtrans.gif">
          <a:extLst>
            <a:ext uri="{FF2B5EF4-FFF2-40B4-BE49-F238E27FC236}">
              <a16:creationId xmlns:a16="http://schemas.microsoft.com/office/drawing/2014/main" id="{0BCAB143-2D0B-4B90-B142-96C95D28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1" name="Imagen 170" descr="http://www.icbf.gov.co/images/pobtrans.gif">
          <a:extLst>
            <a:ext uri="{FF2B5EF4-FFF2-40B4-BE49-F238E27FC236}">
              <a16:creationId xmlns:a16="http://schemas.microsoft.com/office/drawing/2014/main" id="{64C33E86-B9DD-42FB-9903-C808BD28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2" name="Imagen 171" descr="http://www.icbf.gov.co/images/pobtrans.gif">
          <a:extLst>
            <a:ext uri="{FF2B5EF4-FFF2-40B4-BE49-F238E27FC236}">
              <a16:creationId xmlns:a16="http://schemas.microsoft.com/office/drawing/2014/main" id="{EAC46A16-49F7-4AD2-83D7-E3E7402D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3" name="Imagen 172" descr="http://www.icbf.gov.co/images/pobtrans.gif">
          <a:extLst>
            <a:ext uri="{FF2B5EF4-FFF2-40B4-BE49-F238E27FC236}">
              <a16:creationId xmlns:a16="http://schemas.microsoft.com/office/drawing/2014/main" id="{6B99AD21-E8D4-4BA0-B4C2-CA72DDC0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4" name="Imagen 173" descr="http://www.icbf.gov.co/images/pobtrans.gif">
          <a:extLst>
            <a:ext uri="{FF2B5EF4-FFF2-40B4-BE49-F238E27FC236}">
              <a16:creationId xmlns:a16="http://schemas.microsoft.com/office/drawing/2014/main" id="{9BDDC261-50C4-4D29-8117-58FD4999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5" name="Imagen 174" descr="http://www.icbf.gov.co/images/pobtrans.gif">
          <a:extLst>
            <a:ext uri="{FF2B5EF4-FFF2-40B4-BE49-F238E27FC236}">
              <a16:creationId xmlns:a16="http://schemas.microsoft.com/office/drawing/2014/main" id="{8E7E2A29-E6BE-4974-A898-4FE73D18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6" name="Imagen 175" descr="http://www.icbf.gov.co/images/pobtrans.gif">
          <a:extLst>
            <a:ext uri="{FF2B5EF4-FFF2-40B4-BE49-F238E27FC236}">
              <a16:creationId xmlns:a16="http://schemas.microsoft.com/office/drawing/2014/main" id="{E2DF2666-8648-4E59-9C7B-70C5D29E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7" name="Imagen 176" descr="http://www.icbf.gov.co/images/pobtrans.gif">
          <a:extLst>
            <a:ext uri="{FF2B5EF4-FFF2-40B4-BE49-F238E27FC236}">
              <a16:creationId xmlns:a16="http://schemas.microsoft.com/office/drawing/2014/main" id="{54B9FC44-8603-4462-AE51-96A6FB06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8" name="Imagen 177" descr="http://www.icbf.gov.co/images/pobtrans.gif">
          <a:extLst>
            <a:ext uri="{FF2B5EF4-FFF2-40B4-BE49-F238E27FC236}">
              <a16:creationId xmlns:a16="http://schemas.microsoft.com/office/drawing/2014/main" id="{E2FA716A-9A14-4D1B-8DF9-671CF4D0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79" name="Imagen 178" descr="http://www.icbf.gov.co/images/pobtrans.gif">
          <a:extLst>
            <a:ext uri="{FF2B5EF4-FFF2-40B4-BE49-F238E27FC236}">
              <a16:creationId xmlns:a16="http://schemas.microsoft.com/office/drawing/2014/main" id="{38DDDB94-D096-44E0-AF25-46281219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0" name="Imagen 179" descr="http://www.icbf.gov.co/images/pobtrans.gif">
          <a:extLst>
            <a:ext uri="{FF2B5EF4-FFF2-40B4-BE49-F238E27FC236}">
              <a16:creationId xmlns:a16="http://schemas.microsoft.com/office/drawing/2014/main" id="{61B2C805-2B6F-479A-8273-E6FE6033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1" name="Imagen 180" descr="http://www.icbf.gov.co/images/pobtrans.gif">
          <a:extLst>
            <a:ext uri="{FF2B5EF4-FFF2-40B4-BE49-F238E27FC236}">
              <a16:creationId xmlns:a16="http://schemas.microsoft.com/office/drawing/2014/main" id="{34B0C470-F573-414E-A647-FD55A141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2" name="Imagen 181" descr="http://www.icbf.gov.co/images/pobtrans.gif">
          <a:extLst>
            <a:ext uri="{FF2B5EF4-FFF2-40B4-BE49-F238E27FC236}">
              <a16:creationId xmlns:a16="http://schemas.microsoft.com/office/drawing/2014/main" id="{3740474D-214F-4371-B7FC-E86EC4A0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3" name="Imagen 182" descr="http://www.icbf.gov.co/images/pobtrans.gif">
          <a:extLst>
            <a:ext uri="{FF2B5EF4-FFF2-40B4-BE49-F238E27FC236}">
              <a16:creationId xmlns:a16="http://schemas.microsoft.com/office/drawing/2014/main" id="{7D97E825-9C51-47CC-8ED7-556C5690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4" name="Imagen 183" descr="http://www.icbf.gov.co/images/pobtrans.gif">
          <a:extLst>
            <a:ext uri="{FF2B5EF4-FFF2-40B4-BE49-F238E27FC236}">
              <a16:creationId xmlns:a16="http://schemas.microsoft.com/office/drawing/2014/main" id="{A1683C3F-8048-41C1-82E4-81156CB1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5" name="Imagen 184" descr="http://www.icbf.gov.co/images/pobtrans.gif">
          <a:extLst>
            <a:ext uri="{FF2B5EF4-FFF2-40B4-BE49-F238E27FC236}">
              <a16:creationId xmlns:a16="http://schemas.microsoft.com/office/drawing/2014/main" id="{4A385588-0378-4C1C-9553-B1FEC86A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6" name="Imagen 185" descr="http://www.icbf.gov.co/images/pobtrans.gif">
          <a:extLst>
            <a:ext uri="{FF2B5EF4-FFF2-40B4-BE49-F238E27FC236}">
              <a16:creationId xmlns:a16="http://schemas.microsoft.com/office/drawing/2014/main" id="{BDB32172-AD86-4583-A63B-57995D31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7" name="Imagen 186" descr="http://www.icbf.gov.co/images/pobtrans.gif">
          <a:extLst>
            <a:ext uri="{FF2B5EF4-FFF2-40B4-BE49-F238E27FC236}">
              <a16:creationId xmlns:a16="http://schemas.microsoft.com/office/drawing/2014/main" id="{B6A58C10-3B0D-4196-A1B2-6066FDFF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8" name="Imagen 187" descr="http://www.icbf.gov.co/images/pobtrans.gif">
          <a:extLst>
            <a:ext uri="{FF2B5EF4-FFF2-40B4-BE49-F238E27FC236}">
              <a16:creationId xmlns:a16="http://schemas.microsoft.com/office/drawing/2014/main" id="{879EE33B-2AB8-4C7B-9F47-F09EFE699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89" name="Imagen 188" descr="http://www.icbf.gov.co/images/pobtrans.gif">
          <a:extLst>
            <a:ext uri="{FF2B5EF4-FFF2-40B4-BE49-F238E27FC236}">
              <a16:creationId xmlns:a16="http://schemas.microsoft.com/office/drawing/2014/main" id="{B17AF08F-13D0-49B1-A80C-9A13CB8E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0" name="Imagen 189" descr="http://www.icbf.gov.co/images/pobtrans.gif">
          <a:extLst>
            <a:ext uri="{FF2B5EF4-FFF2-40B4-BE49-F238E27FC236}">
              <a16:creationId xmlns:a16="http://schemas.microsoft.com/office/drawing/2014/main" id="{B7E9F9DB-BBEF-48DB-A3A8-C20EDE73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1" name="Imagen 190" descr="http://www.icbf.gov.co/images/pobtrans.gif">
          <a:extLst>
            <a:ext uri="{FF2B5EF4-FFF2-40B4-BE49-F238E27FC236}">
              <a16:creationId xmlns:a16="http://schemas.microsoft.com/office/drawing/2014/main" id="{F4AF34D6-CAF0-435F-8BD3-D784E49B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2" name="Imagen 191" descr="http://www.icbf.gov.co/images/pobtrans.gif">
          <a:extLst>
            <a:ext uri="{FF2B5EF4-FFF2-40B4-BE49-F238E27FC236}">
              <a16:creationId xmlns:a16="http://schemas.microsoft.com/office/drawing/2014/main" id="{2A1BA498-EA21-4ECE-9CF7-A6B34408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3" name="Imagen 192" descr="http://www.icbf.gov.co/images/pobtrans.gif">
          <a:extLst>
            <a:ext uri="{FF2B5EF4-FFF2-40B4-BE49-F238E27FC236}">
              <a16:creationId xmlns:a16="http://schemas.microsoft.com/office/drawing/2014/main" id="{7FAA4FA4-CEE1-4720-A93F-DD54B048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4" name="Imagen 193" descr="http://www.icbf.gov.co/images/pobtrans.gif">
          <a:extLst>
            <a:ext uri="{FF2B5EF4-FFF2-40B4-BE49-F238E27FC236}">
              <a16:creationId xmlns:a16="http://schemas.microsoft.com/office/drawing/2014/main" id="{1A99DB1A-C438-4782-8DC8-6389B7CE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5" name="Imagen 194" descr="http://www.icbf.gov.co/images/pobtrans.gif">
          <a:extLst>
            <a:ext uri="{FF2B5EF4-FFF2-40B4-BE49-F238E27FC236}">
              <a16:creationId xmlns:a16="http://schemas.microsoft.com/office/drawing/2014/main" id="{C06971B9-EC98-4806-8764-A2CE877D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6" name="Imagen 195" descr="http://www.icbf.gov.co/images/pobtrans.gif">
          <a:extLst>
            <a:ext uri="{FF2B5EF4-FFF2-40B4-BE49-F238E27FC236}">
              <a16:creationId xmlns:a16="http://schemas.microsoft.com/office/drawing/2014/main" id="{DDD00E39-551B-4022-8679-9A8E2B82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7" name="Imagen 196" descr="http://www.icbf.gov.co/images/pobtrans.gif">
          <a:extLst>
            <a:ext uri="{FF2B5EF4-FFF2-40B4-BE49-F238E27FC236}">
              <a16:creationId xmlns:a16="http://schemas.microsoft.com/office/drawing/2014/main" id="{302E1499-D19E-473A-92D7-92ED919A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8" name="Imagen 197" descr="http://www.icbf.gov.co/images/pobtrans.gif">
          <a:extLst>
            <a:ext uri="{FF2B5EF4-FFF2-40B4-BE49-F238E27FC236}">
              <a16:creationId xmlns:a16="http://schemas.microsoft.com/office/drawing/2014/main" id="{6577C874-FE64-4BE6-B6F8-4287A5A6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199" name="Imagen 198" descr="http://www.icbf.gov.co/images/pobtrans.gif">
          <a:extLst>
            <a:ext uri="{FF2B5EF4-FFF2-40B4-BE49-F238E27FC236}">
              <a16:creationId xmlns:a16="http://schemas.microsoft.com/office/drawing/2014/main" id="{C63ADBB7-35A0-4B2D-9F5A-02BE48DA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0" name="Imagen 199" descr="http://www.icbf.gov.co/images/pobtrans.gif">
          <a:extLst>
            <a:ext uri="{FF2B5EF4-FFF2-40B4-BE49-F238E27FC236}">
              <a16:creationId xmlns:a16="http://schemas.microsoft.com/office/drawing/2014/main" id="{9704174D-210C-4784-96D8-4F5D3718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1" name="Imagen 200" descr="http://www.icbf.gov.co/images/pobtrans.gif">
          <a:extLst>
            <a:ext uri="{FF2B5EF4-FFF2-40B4-BE49-F238E27FC236}">
              <a16:creationId xmlns:a16="http://schemas.microsoft.com/office/drawing/2014/main" id="{25420292-FC7A-4DD9-B73E-B72D24F4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2" name="Imagen 201" descr="http://www.icbf.gov.co/images/pobtrans.gif">
          <a:extLst>
            <a:ext uri="{FF2B5EF4-FFF2-40B4-BE49-F238E27FC236}">
              <a16:creationId xmlns:a16="http://schemas.microsoft.com/office/drawing/2014/main" id="{DEFA4E37-53E4-41F9-AA25-D3B1E8E1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3" name="Imagen 202" descr="http://www.icbf.gov.co/images/pobtrans.gif">
          <a:extLst>
            <a:ext uri="{FF2B5EF4-FFF2-40B4-BE49-F238E27FC236}">
              <a16:creationId xmlns:a16="http://schemas.microsoft.com/office/drawing/2014/main" id="{C8B2185A-48F6-4D2B-A9D5-BC538F4F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4" name="Imagen 203" descr="http://www.icbf.gov.co/images/pobtrans.gif">
          <a:extLst>
            <a:ext uri="{FF2B5EF4-FFF2-40B4-BE49-F238E27FC236}">
              <a16:creationId xmlns:a16="http://schemas.microsoft.com/office/drawing/2014/main" id="{4667BFCF-7C46-4872-8EFC-21261CA8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5" name="Imagen 204" descr="http://www.icbf.gov.co/images/pobtrans.gif">
          <a:extLst>
            <a:ext uri="{FF2B5EF4-FFF2-40B4-BE49-F238E27FC236}">
              <a16:creationId xmlns:a16="http://schemas.microsoft.com/office/drawing/2014/main" id="{023A3A3C-CEEB-4FD6-8FB8-31A4AE89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6" name="Imagen 205" descr="http://www.icbf.gov.co/images/pobtrans.gif">
          <a:extLst>
            <a:ext uri="{FF2B5EF4-FFF2-40B4-BE49-F238E27FC236}">
              <a16:creationId xmlns:a16="http://schemas.microsoft.com/office/drawing/2014/main" id="{EB194FD2-7B28-4380-97A1-20723F0C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7" name="Imagen 206" descr="http://www.icbf.gov.co/images/pobtrans.gif">
          <a:extLst>
            <a:ext uri="{FF2B5EF4-FFF2-40B4-BE49-F238E27FC236}">
              <a16:creationId xmlns:a16="http://schemas.microsoft.com/office/drawing/2014/main" id="{4FC4ED65-0D35-4551-BCF5-77D365B6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8" name="Imagen 207" descr="http://www.icbf.gov.co/images/pobtrans.gif">
          <a:extLst>
            <a:ext uri="{FF2B5EF4-FFF2-40B4-BE49-F238E27FC236}">
              <a16:creationId xmlns:a16="http://schemas.microsoft.com/office/drawing/2014/main" id="{009B37F5-7E48-4DC1-970F-28C8CE3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09" name="Imagen 208" descr="http://www.icbf.gov.co/images/pobtrans.gif">
          <a:extLst>
            <a:ext uri="{FF2B5EF4-FFF2-40B4-BE49-F238E27FC236}">
              <a16:creationId xmlns:a16="http://schemas.microsoft.com/office/drawing/2014/main" id="{DCF44846-9E03-455F-BD8D-3DDB8E472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0" name="Imagen 209" descr="http://www.icbf.gov.co/images/pobtrans.gif">
          <a:extLst>
            <a:ext uri="{FF2B5EF4-FFF2-40B4-BE49-F238E27FC236}">
              <a16:creationId xmlns:a16="http://schemas.microsoft.com/office/drawing/2014/main" id="{D692C555-717C-40D2-AD22-363A50F6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1" name="Imagen 210" descr="http://www.icbf.gov.co/images/pobtrans.gif">
          <a:extLst>
            <a:ext uri="{FF2B5EF4-FFF2-40B4-BE49-F238E27FC236}">
              <a16:creationId xmlns:a16="http://schemas.microsoft.com/office/drawing/2014/main" id="{AF10F7C6-016F-44B8-8A4F-8102BCFB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2" name="Imagen 211" descr="http://www.icbf.gov.co/images/pobtrans.gif">
          <a:extLst>
            <a:ext uri="{FF2B5EF4-FFF2-40B4-BE49-F238E27FC236}">
              <a16:creationId xmlns:a16="http://schemas.microsoft.com/office/drawing/2014/main" id="{66B593F2-4475-4989-A17C-75E715586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3" name="Imagen 212" descr="http://www.icbf.gov.co/images/pobtrans.gif">
          <a:extLst>
            <a:ext uri="{FF2B5EF4-FFF2-40B4-BE49-F238E27FC236}">
              <a16:creationId xmlns:a16="http://schemas.microsoft.com/office/drawing/2014/main" id="{E237CE92-5964-427C-A45A-69F8D6863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4" name="Imagen 213" descr="http://www.icbf.gov.co/images/pobtrans.gif">
          <a:extLst>
            <a:ext uri="{FF2B5EF4-FFF2-40B4-BE49-F238E27FC236}">
              <a16:creationId xmlns:a16="http://schemas.microsoft.com/office/drawing/2014/main" id="{8703AFA7-D52A-4581-8D46-2DA45B1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5" name="Imagen 214" descr="http://www.icbf.gov.co/images/pobtrans.gif">
          <a:extLst>
            <a:ext uri="{FF2B5EF4-FFF2-40B4-BE49-F238E27FC236}">
              <a16:creationId xmlns:a16="http://schemas.microsoft.com/office/drawing/2014/main" id="{C8F4963B-09C9-4DAE-BA88-104EC550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6" name="Imagen 215" descr="http://www.icbf.gov.co/images/pobtrans.gif">
          <a:extLst>
            <a:ext uri="{FF2B5EF4-FFF2-40B4-BE49-F238E27FC236}">
              <a16:creationId xmlns:a16="http://schemas.microsoft.com/office/drawing/2014/main" id="{217D1B71-A4F9-4454-A126-4DE1C56C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7" name="Imagen 216" descr="http://www.icbf.gov.co/images/pobtrans.gif">
          <a:extLst>
            <a:ext uri="{FF2B5EF4-FFF2-40B4-BE49-F238E27FC236}">
              <a16:creationId xmlns:a16="http://schemas.microsoft.com/office/drawing/2014/main" id="{D6CB8B3C-50BE-4C7F-A6AE-B3F0574C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8" name="Imagen 217" descr="http://www.icbf.gov.co/images/pobtrans.gif">
          <a:extLst>
            <a:ext uri="{FF2B5EF4-FFF2-40B4-BE49-F238E27FC236}">
              <a16:creationId xmlns:a16="http://schemas.microsoft.com/office/drawing/2014/main" id="{9BAFC375-7866-4FAE-9758-6240CEBFA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19" name="Imagen 218" descr="http://www.icbf.gov.co/images/pobtrans.gif">
          <a:extLst>
            <a:ext uri="{FF2B5EF4-FFF2-40B4-BE49-F238E27FC236}">
              <a16:creationId xmlns:a16="http://schemas.microsoft.com/office/drawing/2014/main" id="{9B49B684-DABD-4554-93E1-FDBF8B01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0" name="Imagen 219" descr="http://www.icbf.gov.co/images/pobtrans.gif">
          <a:extLst>
            <a:ext uri="{FF2B5EF4-FFF2-40B4-BE49-F238E27FC236}">
              <a16:creationId xmlns:a16="http://schemas.microsoft.com/office/drawing/2014/main" id="{F4FB5E5D-FD0E-498F-BFAD-8D1FDFF4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1" name="Imagen 220" descr="http://www.icbf.gov.co/images/pobtrans.gif">
          <a:extLst>
            <a:ext uri="{FF2B5EF4-FFF2-40B4-BE49-F238E27FC236}">
              <a16:creationId xmlns:a16="http://schemas.microsoft.com/office/drawing/2014/main" id="{189C3438-618D-4768-9B46-1577BBB1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2" name="Imagen 221" descr="http://www.icbf.gov.co/images/pobtrans.gif">
          <a:extLst>
            <a:ext uri="{FF2B5EF4-FFF2-40B4-BE49-F238E27FC236}">
              <a16:creationId xmlns:a16="http://schemas.microsoft.com/office/drawing/2014/main" id="{05B49010-F181-4B61-9FBF-1D0E86FB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3" name="Imagen 222" descr="http://www.icbf.gov.co/images/pobtrans.gif">
          <a:extLst>
            <a:ext uri="{FF2B5EF4-FFF2-40B4-BE49-F238E27FC236}">
              <a16:creationId xmlns:a16="http://schemas.microsoft.com/office/drawing/2014/main" id="{9E4D21D8-DDB8-4F2E-85AE-B1F911823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4" name="Imagen 223" descr="http://www.icbf.gov.co/images/pobtrans.gif">
          <a:extLst>
            <a:ext uri="{FF2B5EF4-FFF2-40B4-BE49-F238E27FC236}">
              <a16:creationId xmlns:a16="http://schemas.microsoft.com/office/drawing/2014/main" id="{16127E09-02F1-4D99-BBD3-A798E65B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5" name="Imagen 224" descr="http://www.icbf.gov.co/images/pobtrans.gif">
          <a:extLst>
            <a:ext uri="{FF2B5EF4-FFF2-40B4-BE49-F238E27FC236}">
              <a16:creationId xmlns:a16="http://schemas.microsoft.com/office/drawing/2014/main" id="{1F9CA2A7-60CE-4A3E-8C1F-FF7A12ED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6" name="Imagen 225" descr="http://www.icbf.gov.co/images/pobtrans.gif">
          <a:extLst>
            <a:ext uri="{FF2B5EF4-FFF2-40B4-BE49-F238E27FC236}">
              <a16:creationId xmlns:a16="http://schemas.microsoft.com/office/drawing/2014/main" id="{DBFFA6B8-0248-4A06-B852-1191690E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7" name="Imagen 226" descr="http://www.icbf.gov.co/images/pobtrans.gif">
          <a:extLst>
            <a:ext uri="{FF2B5EF4-FFF2-40B4-BE49-F238E27FC236}">
              <a16:creationId xmlns:a16="http://schemas.microsoft.com/office/drawing/2014/main" id="{0CDE7A01-35B9-4520-B51D-39DC113B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8" name="Imagen 227" descr="http://www.icbf.gov.co/images/pobtrans.gif">
          <a:extLst>
            <a:ext uri="{FF2B5EF4-FFF2-40B4-BE49-F238E27FC236}">
              <a16:creationId xmlns:a16="http://schemas.microsoft.com/office/drawing/2014/main" id="{FDA2628A-716C-4F43-89BC-F7E3E095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29" name="Imagen 228" descr="http://www.icbf.gov.co/images/pobtrans.gif">
          <a:extLst>
            <a:ext uri="{FF2B5EF4-FFF2-40B4-BE49-F238E27FC236}">
              <a16:creationId xmlns:a16="http://schemas.microsoft.com/office/drawing/2014/main" id="{C568A9CF-5067-4EA9-A7D2-AEFF231D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0" name="Imagen 229" descr="http://www.icbf.gov.co/images/pobtrans.gif">
          <a:extLst>
            <a:ext uri="{FF2B5EF4-FFF2-40B4-BE49-F238E27FC236}">
              <a16:creationId xmlns:a16="http://schemas.microsoft.com/office/drawing/2014/main" id="{D90A6F3B-1090-42EC-8A5B-F5EC1B83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1" name="Imagen 230" descr="http://www.icbf.gov.co/images/pobtrans.gif">
          <a:extLst>
            <a:ext uri="{FF2B5EF4-FFF2-40B4-BE49-F238E27FC236}">
              <a16:creationId xmlns:a16="http://schemas.microsoft.com/office/drawing/2014/main" id="{0DAEDDE0-CBBA-412C-8B3D-ADD9B3BA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2" name="Imagen 231" descr="http://www.icbf.gov.co/images/pobtrans.gif">
          <a:extLst>
            <a:ext uri="{FF2B5EF4-FFF2-40B4-BE49-F238E27FC236}">
              <a16:creationId xmlns:a16="http://schemas.microsoft.com/office/drawing/2014/main" id="{A74F5132-C065-47C2-B4B0-589C5012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3" name="Imagen 232" descr="http://www.icbf.gov.co/images/pobtrans.gif">
          <a:extLst>
            <a:ext uri="{FF2B5EF4-FFF2-40B4-BE49-F238E27FC236}">
              <a16:creationId xmlns:a16="http://schemas.microsoft.com/office/drawing/2014/main" id="{C3E44547-40AF-438D-A71E-ABDE993F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4" name="Imagen 233" descr="http://www.icbf.gov.co/images/pobtrans.gif">
          <a:extLst>
            <a:ext uri="{FF2B5EF4-FFF2-40B4-BE49-F238E27FC236}">
              <a16:creationId xmlns:a16="http://schemas.microsoft.com/office/drawing/2014/main" id="{597DF7C4-87A0-4497-B84F-9A970072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5" name="Imagen 234" descr="http://www.icbf.gov.co/images/pobtrans.gif">
          <a:extLst>
            <a:ext uri="{FF2B5EF4-FFF2-40B4-BE49-F238E27FC236}">
              <a16:creationId xmlns:a16="http://schemas.microsoft.com/office/drawing/2014/main" id="{CBC6CDF9-06B2-4994-86FA-23B6BBBC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6" name="Imagen 235" descr="http://www.icbf.gov.co/images/pobtrans.gif">
          <a:extLst>
            <a:ext uri="{FF2B5EF4-FFF2-40B4-BE49-F238E27FC236}">
              <a16:creationId xmlns:a16="http://schemas.microsoft.com/office/drawing/2014/main" id="{E7A3BD4F-4D4F-463A-9521-507B6848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7" name="Imagen 236" descr="http://www.icbf.gov.co/images/pobtrans.gif">
          <a:extLst>
            <a:ext uri="{FF2B5EF4-FFF2-40B4-BE49-F238E27FC236}">
              <a16:creationId xmlns:a16="http://schemas.microsoft.com/office/drawing/2014/main" id="{6174D854-3BD6-47E1-9350-AAD945A0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8" name="Imagen 237" descr="http://www.icbf.gov.co/images/pobtrans.gif">
          <a:extLst>
            <a:ext uri="{FF2B5EF4-FFF2-40B4-BE49-F238E27FC236}">
              <a16:creationId xmlns:a16="http://schemas.microsoft.com/office/drawing/2014/main" id="{8A0A2DED-D117-4C57-9CF1-43B06DFC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39" name="Imagen 238" descr="http://www.icbf.gov.co/images/pobtrans.gif">
          <a:extLst>
            <a:ext uri="{FF2B5EF4-FFF2-40B4-BE49-F238E27FC236}">
              <a16:creationId xmlns:a16="http://schemas.microsoft.com/office/drawing/2014/main" id="{535470BC-A96B-4452-86D1-B8FF3122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0" name="Imagen 239" descr="http://www.icbf.gov.co/images/pobtrans.gif">
          <a:extLst>
            <a:ext uri="{FF2B5EF4-FFF2-40B4-BE49-F238E27FC236}">
              <a16:creationId xmlns:a16="http://schemas.microsoft.com/office/drawing/2014/main" id="{5935FEC2-5AD1-43E1-B759-E91AEF49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1" name="Imagen 240" descr="http://www.icbf.gov.co/images/pobtrans.gif">
          <a:extLst>
            <a:ext uri="{FF2B5EF4-FFF2-40B4-BE49-F238E27FC236}">
              <a16:creationId xmlns:a16="http://schemas.microsoft.com/office/drawing/2014/main" id="{D5890644-75D6-46A4-9364-60879664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2" name="Imagen 241" descr="http://www.icbf.gov.co/images/pobtrans.gif">
          <a:extLst>
            <a:ext uri="{FF2B5EF4-FFF2-40B4-BE49-F238E27FC236}">
              <a16:creationId xmlns:a16="http://schemas.microsoft.com/office/drawing/2014/main" id="{7D6D7236-64B2-40ED-980D-FF496AA0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3" name="Imagen 242" descr="http://www.icbf.gov.co/images/pobtrans.gif">
          <a:extLst>
            <a:ext uri="{FF2B5EF4-FFF2-40B4-BE49-F238E27FC236}">
              <a16:creationId xmlns:a16="http://schemas.microsoft.com/office/drawing/2014/main" id="{E8582BE9-4174-4FAD-8C5C-E8E5603D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4" name="Imagen 243" descr="http://www.icbf.gov.co/images/pobtrans.gif">
          <a:extLst>
            <a:ext uri="{FF2B5EF4-FFF2-40B4-BE49-F238E27FC236}">
              <a16:creationId xmlns:a16="http://schemas.microsoft.com/office/drawing/2014/main" id="{FA793952-449A-4E3C-B857-19A63F23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5" name="Imagen 244" descr="http://www.icbf.gov.co/images/pobtrans.gif">
          <a:extLst>
            <a:ext uri="{FF2B5EF4-FFF2-40B4-BE49-F238E27FC236}">
              <a16:creationId xmlns:a16="http://schemas.microsoft.com/office/drawing/2014/main" id="{98AC4E2C-6155-42F8-931D-172DD2DA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6" name="Imagen 245" descr="http://www.icbf.gov.co/images/pobtrans.gif">
          <a:extLst>
            <a:ext uri="{FF2B5EF4-FFF2-40B4-BE49-F238E27FC236}">
              <a16:creationId xmlns:a16="http://schemas.microsoft.com/office/drawing/2014/main" id="{F0272B12-C23E-4ABF-BA96-F0C22804A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7" name="Imagen 246" descr="http://www.icbf.gov.co/images/pobtrans.gif">
          <a:extLst>
            <a:ext uri="{FF2B5EF4-FFF2-40B4-BE49-F238E27FC236}">
              <a16:creationId xmlns:a16="http://schemas.microsoft.com/office/drawing/2014/main" id="{119A7D8E-F852-4E44-94F4-87D521AA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8" name="Imagen 247" descr="http://www.icbf.gov.co/images/pobtrans.gif">
          <a:extLst>
            <a:ext uri="{FF2B5EF4-FFF2-40B4-BE49-F238E27FC236}">
              <a16:creationId xmlns:a16="http://schemas.microsoft.com/office/drawing/2014/main" id="{A57975F6-A28F-477E-AFFD-BB33EE24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49" name="Imagen 248" descr="http://www.icbf.gov.co/images/pobtrans.gif">
          <a:extLst>
            <a:ext uri="{FF2B5EF4-FFF2-40B4-BE49-F238E27FC236}">
              <a16:creationId xmlns:a16="http://schemas.microsoft.com/office/drawing/2014/main" id="{3144806B-8CCB-4F0D-B78B-2213D9CC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0" name="Imagen 249" descr="http://www.icbf.gov.co/images/pobtrans.gif">
          <a:extLst>
            <a:ext uri="{FF2B5EF4-FFF2-40B4-BE49-F238E27FC236}">
              <a16:creationId xmlns:a16="http://schemas.microsoft.com/office/drawing/2014/main" id="{B15FB47A-4021-42BD-8A92-B13D3F59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1" name="Imagen 250" descr="http://www.icbf.gov.co/images/pobtrans.gif">
          <a:extLst>
            <a:ext uri="{FF2B5EF4-FFF2-40B4-BE49-F238E27FC236}">
              <a16:creationId xmlns:a16="http://schemas.microsoft.com/office/drawing/2014/main" id="{AC68EBBA-4056-42DD-8DC5-2C9C4392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2" name="Imagen 251" descr="http://www.icbf.gov.co/images/pobtrans.gif">
          <a:extLst>
            <a:ext uri="{FF2B5EF4-FFF2-40B4-BE49-F238E27FC236}">
              <a16:creationId xmlns:a16="http://schemas.microsoft.com/office/drawing/2014/main" id="{E2C4219C-035A-45B8-9B9A-E1B1D119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3" name="Imagen 252" descr="http://www.icbf.gov.co/images/pobtrans.gif">
          <a:extLst>
            <a:ext uri="{FF2B5EF4-FFF2-40B4-BE49-F238E27FC236}">
              <a16:creationId xmlns:a16="http://schemas.microsoft.com/office/drawing/2014/main" id="{221AF502-C525-408A-9860-C3AC1ADD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4" name="Imagen 253" descr="http://www.icbf.gov.co/images/pobtrans.gif">
          <a:extLst>
            <a:ext uri="{FF2B5EF4-FFF2-40B4-BE49-F238E27FC236}">
              <a16:creationId xmlns:a16="http://schemas.microsoft.com/office/drawing/2014/main" id="{BE2A48B6-1E78-498D-A326-92713CB2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5" name="Imagen 254" descr="http://www.icbf.gov.co/images/pobtrans.gif">
          <a:extLst>
            <a:ext uri="{FF2B5EF4-FFF2-40B4-BE49-F238E27FC236}">
              <a16:creationId xmlns:a16="http://schemas.microsoft.com/office/drawing/2014/main" id="{06D9A877-00A0-435B-8F68-15A3309A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6" name="Imagen 255" descr="http://www.icbf.gov.co/images/pobtrans.gif">
          <a:extLst>
            <a:ext uri="{FF2B5EF4-FFF2-40B4-BE49-F238E27FC236}">
              <a16:creationId xmlns:a16="http://schemas.microsoft.com/office/drawing/2014/main" id="{F6B3FA37-0EC5-46DD-B382-6395E819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7" name="Imagen 256" descr="http://www.icbf.gov.co/images/pobtrans.gif">
          <a:extLst>
            <a:ext uri="{FF2B5EF4-FFF2-40B4-BE49-F238E27FC236}">
              <a16:creationId xmlns:a16="http://schemas.microsoft.com/office/drawing/2014/main" id="{36342C21-B5D2-480D-AAE1-9BE019E2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8" name="Imagen 257" descr="http://www.icbf.gov.co/images/pobtrans.gif">
          <a:extLst>
            <a:ext uri="{FF2B5EF4-FFF2-40B4-BE49-F238E27FC236}">
              <a16:creationId xmlns:a16="http://schemas.microsoft.com/office/drawing/2014/main" id="{7E4C2CC1-9E17-4BE3-B20A-543CBEB4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59" name="Imagen 258" descr="http://www.icbf.gov.co/images/pobtrans.gif">
          <a:extLst>
            <a:ext uri="{FF2B5EF4-FFF2-40B4-BE49-F238E27FC236}">
              <a16:creationId xmlns:a16="http://schemas.microsoft.com/office/drawing/2014/main" id="{1762BAD9-814F-4360-96E3-24C3B277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0" name="Imagen 259" descr="http://www.icbf.gov.co/images/pobtrans.gif">
          <a:extLst>
            <a:ext uri="{FF2B5EF4-FFF2-40B4-BE49-F238E27FC236}">
              <a16:creationId xmlns:a16="http://schemas.microsoft.com/office/drawing/2014/main" id="{2610C569-848D-4425-B74E-9F02C581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1" name="Imagen 260" descr="http://www.icbf.gov.co/images/pobtrans.gif">
          <a:extLst>
            <a:ext uri="{FF2B5EF4-FFF2-40B4-BE49-F238E27FC236}">
              <a16:creationId xmlns:a16="http://schemas.microsoft.com/office/drawing/2014/main" id="{817B0948-AD9F-4972-904B-8210C9CA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2" name="Imagen 261" descr="http://www.icbf.gov.co/images/pobtrans.gif">
          <a:extLst>
            <a:ext uri="{FF2B5EF4-FFF2-40B4-BE49-F238E27FC236}">
              <a16:creationId xmlns:a16="http://schemas.microsoft.com/office/drawing/2014/main" id="{55EADA20-399B-4DB8-9E63-5C3D2E01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3" name="Imagen 262" descr="http://www.icbf.gov.co/images/pobtrans.gif">
          <a:extLst>
            <a:ext uri="{FF2B5EF4-FFF2-40B4-BE49-F238E27FC236}">
              <a16:creationId xmlns:a16="http://schemas.microsoft.com/office/drawing/2014/main" id="{FD7F2125-2884-4763-8124-FA24DD5F2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4" name="Imagen 263" descr="http://www.icbf.gov.co/images/pobtrans.gif">
          <a:extLst>
            <a:ext uri="{FF2B5EF4-FFF2-40B4-BE49-F238E27FC236}">
              <a16:creationId xmlns:a16="http://schemas.microsoft.com/office/drawing/2014/main" id="{FEB525ED-2F96-40DA-B7A1-6AE5DD0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5" name="Imagen 264" descr="http://www.icbf.gov.co/images/pobtrans.gif">
          <a:extLst>
            <a:ext uri="{FF2B5EF4-FFF2-40B4-BE49-F238E27FC236}">
              <a16:creationId xmlns:a16="http://schemas.microsoft.com/office/drawing/2014/main" id="{233EAC62-7C17-465F-B281-40C7B650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6" name="Imagen 265" descr="http://www.icbf.gov.co/images/pobtrans.gif">
          <a:extLst>
            <a:ext uri="{FF2B5EF4-FFF2-40B4-BE49-F238E27FC236}">
              <a16:creationId xmlns:a16="http://schemas.microsoft.com/office/drawing/2014/main" id="{E22A3FB8-8814-4EA6-B490-81BA6643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7" name="Imagen 266" descr="http://www.icbf.gov.co/images/pobtrans.gif">
          <a:extLst>
            <a:ext uri="{FF2B5EF4-FFF2-40B4-BE49-F238E27FC236}">
              <a16:creationId xmlns:a16="http://schemas.microsoft.com/office/drawing/2014/main" id="{A27247C1-2A06-429F-822D-186A716E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8" name="Imagen 267" descr="http://www.icbf.gov.co/images/pobtrans.gif">
          <a:extLst>
            <a:ext uri="{FF2B5EF4-FFF2-40B4-BE49-F238E27FC236}">
              <a16:creationId xmlns:a16="http://schemas.microsoft.com/office/drawing/2014/main" id="{2CBC3102-69BA-4752-8B53-FFE13259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69" name="Imagen 268" descr="http://www.icbf.gov.co/images/pobtrans.gif">
          <a:extLst>
            <a:ext uri="{FF2B5EF4-FFF2-40B4-BE49-F238E27FC236}">
              <a16:creationId xmlns:a16="http://schemas.microsoft.com/office/drawing/2014/main" id="{8A3B2A1A-1203-4AB5-AA26-0FFF594F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0" name="Imagen 269" descr="http://www.icbf.gov.co/images/pobtrans.gif">
          <a:extLst>
            <a:ext uri="{FF2B5EF4-FFF2-40B4-BE49-F238E27FC236}">
              <a16:creationId xmlns:a16="http://schemas.microsoft.com/office/drawing/2014/main" id="{88C71957-BAC1-473B-9621-012D0D93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1" name="Imagen 270" descr="http://www.icbf.gov.co/images/pobtrans.gif">
          <a:extLst>
            <a:ext uri="{FF2B5EF4-FFF2-40B4-BE49-F238E27FC236}">
              <a16:creationId xmlns:a16="http://schemas.microsoft.com/office/drawing/2014/main" id="{0A3D70E0-88E5-4320-85FC-B2CD3E62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2" name="Imagen 271" descr="http://www.icbf.gov.co/images/pobtrans.gif">
          <a:extLst>
            <a:ext uri="{FF2B5EF4-FFF2-40B4-BE49-F238E27FC236}">
              <a16:creationId xmlns:a16="http://schemas.microsoft.com/office/drawing/2014/main" id="{17DC29AD-19A0-4005-ABDC-FCC9D8F6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3" name="Imagen 272" descr="http://www.icbf.gov.co/images/pobtrans.gif">
          <a:extLst>
            <a:ext uri="{FF2B5EF4-FFF2-40B4-BE49-F238E27FC236}">
              <a16:creationId xmlns:a16="http://schemas.microsoft.com/office/drawing/2014/main" id="{8986C4C8-F376-4FF3-BFDB-F9ECE666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4" name="Imagen 273" descr="http://www.icbf.gov.co/images/pobtrans.gif">
          <a:extLst>
            <a:ext uri="{FF2B5EF4-FFF2-40B4-BE49-F238E27FC236}">
              <a16:creationId xmlns:a16="http://schemas.microsoft.com/office/drawing/2014/main" id="{F708E22D-BDB8-41F0-AD96-01573D6B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5" name="Imagen 274" descr="http://www.icbf.gov.co/images/pobtrans.gif">
          <a:extLst>
            <a:ext uri="{FF2B5EF4-FFF2-40B4-BE49-F238E27FC236}">
              <a16:creationId xmlns:a16="http://schemas.microsoft.com/office/drawing/2014/main" id="{49AE9D61-1225-4B34-A870-1E2F2D35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6" name="Imagen 275" descr="http://www.icbf.gov.co/images/pobtrans.gif">
          <a:extLst>
            <a:ext uri="{FF2B5EF4-FFF2-40B4-BE49-F238E27FC236}">
              <a16:creationId xmlns:a16="http://schemas.microsoft.com/office/drawing/2014/main" id="{16FBA381-1B5E-4B39-8333-2E0E4BBF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7" name="Imagen 276" descr="http://www.icbf.gov.co/images/pobtrans.gif">
          <a:extLst>
            <a:ext uri="{FF2B5EF4-FFF2-40B4-BE49-F238E27FC236}">
              <a16:creationId xmlns:a16="http://schemas.microsoft.com/office/drawing/2014/main" id="{0DBE5129-AF69-4780-9B5B-DF404147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8" name="Imagen 277" descr="http://www.icbf.gov.co/images/pobtrans.gif">
          <a:extLst>
            <a:ext uri="{FF2B5EF4-FFF2-40B4-BE49-F238E27FC236}">
              <a16:creationId xmlns:a16="http://schemas.microsoft.com/office/drawing/2014/main" id="{6DA33BFD-8299-485F-BB2E-7334B48E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79" name="Imagen 278" descr="http://www.icbf.gov.co/images/pobtrans.gif">
          <a:extLst>
            <a:ext uri="{FF2B5EF4-FFF2-40B4-BE49-F238E27FC236}">
              <a16:creationId xmlns:a16="http://schemas.microsoft.com/office/drawing/2014/main" id="{850BCBAF-FE8D-41CC-8F0C-1E1BDA27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80" name="Imagen 279" descr="http://www.icbf.gov.co/images/pobtrans.gif">
          <a:extLst>
            <a:ext uri="{FF2B5EF4-FFF2-40B4-BE49-F238E27FC236}">
              <a16:creationId xmlns:a16="http://schemas.microsoft.com/office/drawing/2014/main" id="{3E1D4AAA-BB2E-4A59-BA39-98240CB1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81" name="Imagen 280" descr="http://www.icbf.gov.co/images/pobtrans.gif">
          <a:extLst>
            <a:ext uri="{FF2B5EF4-FFF2-40B4-BE49-F238E27FC236}">
              <a16:creationId xmlns:a16="http://schemas.microsoft.com/office/drawing/2014/main" id="{50B91A4A-022B-4D6F-89AC-C54F0789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82" name="Imagen 281" descr="http://www.icbf.gov.co/images/pobtrans.gif">
          <a:extLst>
            <a:ext uri="{FF2B5EF4-FFF2-40B4-BE49-F238E27FC236}">
              <a16:creationId xmlns:a16="http://schemas.microsoft.com/office/drawing/2014/main" id="{8E6A9E87-446E-4E87-8F90-391DD4EA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83" name="Imagen 282" descr="http://www.icbf.gov.co/images/pobtrans.gif">
          <a:extLst>
            <a:ext uri="{FF2B5EF4-FFF2-40B4-BE49-F238E27FC236}">
              <a16:creationId xmlns:a16="http://schemas.microsoft.com/office/drawing/2014/main" id="{5516A97A-C1B5-4343-BD93-3EF7CD70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9525" cy="114300"/>
    <xdr:pic>
      <xdr:nvPicPr>
        <xdr:cNvPr id="284" name="Imagen 283" descr="http://www.icbf.gov.co/images/pobtrans.gif">
          <a:extLst>
            <a:ext uri="{FF2B5EF4-FFF2-40B4-BE49-F238E27FC236}">
              <a16:creationId xmlns:a16="http://schemas.microsoft.com/office/drawing/2014/main" id="{851EB45C-4FB2-46DF-8F21-732AEF7F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85" name="Imagen 284" descr="http://www.icbf.gov.co/images/pobtrans.gif">
          <a:extLst>
            <a:ext uri="{FF2B5EF4-FFF2-40B4-BE49-F238E27FC236}">
              <a16:creationId xmlns:a16="http://schemas.microsoft.com/office/drawing/2014/main" id="{84295988-CA52-4FEC-952A-69F86E32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86" name="Imagen 285" descr="http://www.icbf.gov.co/images/pobtrans.gif">
          <a:extLst>
            <a:ext uri="{FF2B5EF4-FFF2-40B4-BE49-F238E27FC236}">
              <a16:creationId xmlns:a16="http://schemas.microsoft.com/office/drawing/2014/main" id="{91102977-B4F9-4C3F-BFB8-62E701214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87" name="Imagen 286" descr="http://www.icbf.gov.co/images/pobtrans.gif">
          <a:extLst>
            <a:ext uri="{FF2B5EF4-FFF2-40B4-BE49-F238E27FC236}">
              <a16:creationId xmlns:a16="http://schemas.microsoft.com/office/drawing/2014/main" id="{534CA935-6D7A-4CBD-B1B3-23B8CEDF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88" name="Imagen 287" descr="http://www.icbf.gov.co/images/pobtrans.gif">
          <a:extLst>
            <a:ext uri="{FF2B5EF4-FFF2-40B4-BE49-F238E27FC236}">
              <a16:creationId xmlns:a16="http://schemas.microsoft.com/office/drawing/2014/main" id="{E9A037D0-83DE-4139-B881-2D8DE038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89" name="Imagen 288" descr="http://www.icbf.gov.co/images/pobtrans.gif">
          <a:extLst>
            <a:ext uri="{FF2B5EF4-FFF2-40B4-BE49-F238E27FC236}">
              <a16:creationId xmlns:a16="http://schemas.microsoft.com/office/drawing/2014/main" id="{47EBFA6F-F653-4E7A-9CB3-39852DA3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0" name="Imagen 289" descr="http://www.icbf.gov.co/images/pobtrans.gif">
          <a:extLst>
            <a:ext uri="{FF2B5EF4-FFF2-40B4-BE49-F238E27FC236}">
              <a16:creationId xmlns:a16="http://schemas.microsoft.com/office/drawing/2014/main" id="{861A1731-6487-4161-A644-1CE61234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1" name="Imagen 290" descr="http://www.icbf.gov.co/images/pobtrans.gif">
          <a:extLst>
            <a:ext uri="{FF2B5EF4-FFF2-40B4-BE49-F238E27FC236}">
              <a16:creationId xmlns:a16="http://schemas.microsoft.com/office/drawing/2014/main" id="{D7A7ACE7-1787-47CD-B46B-6D3C6D3D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2" name="Imagen 291" descr="http://www.icbf.gov.co/images/pobtrans.gif">
          <a:extLst>
            <a:ext uri="{FF2B5EF4-FFF2-40B4-BE49-F238E27FC236}">
              <a16:creationId xmlns:a16="http://schemas.microsoft.com/office/drawing/2014/main" id="{7EB31E84-76E9-4A0B-9F85-BB040A78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3" name="Imagen 292" descr="http://www.icbf.gov.co/images/pobtrans.gif">
          <a:extLst>
            <a:ext uri="{FF2B5EF4-FFF2-40B4-BE49-F238E27FC236}">
              <a16:creationId xmlns:a16="http://schemas.microsoft.com/office/drawing/2014/main" id="{C8E7A556-384D-4F2A-8706-740E81E3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4" name="Imagen 293" descr="http://www.icbf.gov.co/images/pobtrans.gif">
          <a:extLst>
            <a:ext uri="{FF2B5EF4-FFF2-40B4-BE49-F238E27FC236}">
              <a16:creationId xmlns:a16="http://schemas.microsoft.com/office/drawing/2014/main" id="{20BD3A46-1F8D-47F0-B9C2-03BC3144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5" name="Imagen 294" descr="http://www.icbf.gov.co/images/pobtrans.gif">
          <a:extLst>
            <a:ext uri="{FF2B5EF4-FFF2-40B4-BE49-F238E27FC236}">
              <a16:creationId xmlns:a16="http://schemas.microsoft.com/office/drawing/2014/main" id="{96A8AE69-D757-4101-95AB-D97B4AA5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6" name="Imagen 295" descr="http://www.icbf.gov.co/images/pobtrans.gif">
          <a:extLst>
            <a:ext uri="{FF2B5EF4-FFF2-40B4-BE49-F238E27FC236}">
              <a16:creationId xmlns:a16="http://schemas.microsoft.com/office/drawing/2014/main" id="{CA31B4A3-56E1-4EBD-ABCD-F1759C31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7" name="Imagen 296" descr="http://www.icbf.gov.co/images/pobtrans.gif">
          <a:extLst>
            <a:ext uri="{FF2B5EF4-FFF2-40B4-BE49-F238E27FC236}">
              <a16:creationId xmlns:a16="http://schemas.microsoft.com/office/drawing/2014/main" id="{7AE2AC5F-44C1-45A9-BE87-E1FF872D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8" name="Imagen 297" descr="http://www.icbf.gov.co/images/pobtrans.gif">
          <a:extLst>
            <a:ext uri="{FF2B5EF4-FFF2-40B4-BE49-F238E27FC236}">
              <a16:creationId xmlns:a16="http://schemas.microsoft.com/office/drawing/2014/main" id="{C059F0DE-FF82-4265-9795-60F15CB7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299" name="Imagen 298" descr="http://www.icbf.gov.co/images/pobtrans.gif">
          <a:extLst>
            <a:ext uri="{FF2B5EF4-FFF2-40B4-BE49-F238E27FC236}">
              <a16:creationId xmlns:a16="http://schemas.microsoft.com/office/drawing/2014/main" id="{DC891317-D24F-4F29-926A-92FA5AA13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0" name="Imagen 299" descr="http://www.icbf.gov.co/images/pobtrans.gif">
          <a:extLst>
            <a:ext uri="{FF2B5EF4-FFF2-40B4-BE49-F238E27FC236}">
              <a16:creationId xmlns:a16="http://schemas.microsoft.com/office/drawing/2014/main" id="{EA891773-9FAA-48E5-A835-E81A77F9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1" name="Imagen 300" descr="http://www.icbf.gov.co/images/pobtrans.gif">
          <a:extLst>
            <a:ext uri="{FF2B5EF4-FFF2-40B4-BE49-F238E27FC236}">
              <a16:creationId xmlns:a16="http://schemas.microsoft.com/office/drawing/2014/main" id="{6BF4F9DE-05CD-4902-96B7-CD13854A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2" name="Imagen 301" descr="http://www.icbf.gov.co/images/pobtrans.gif">
          <a:extLst>
            <a:ext uri="{FF2B5EF4-FFF2-40B4-BE49-F238E27FC236}">
              <a16:creationId xmlns:a16="http://schemas.microsoft.com/office/drawing/2014/main" id="{125436D8-CB65-4509-9676-10B9C718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3" name="Imagen 302" descr="http://www.icbf.gov.co/images/pobtrans.gif">
          <a:extLst>
            <a:ext uri="{FF2B5EF4-FFF2-40B4-BE49-F238E27FC236}">
              <a16:creationId xmlns:a16="http://schemas.microsoft.com/office/drawing/2014/main" id="{4BD86D7F-DCFA-4BB8-B60B-417BA285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4" name="Imagen 303" descr="http://www.icbf.gov.co/images/pobtrans.gif">
          <a:extLst>
            <a:ext uri="{FF2B5EF4-FFF2-40B4-BE49-F238E27FC236}">
              <a16:creationId xmlns:a16="http://schemas.microsoft.com/office/drawing/2014/main" id="{C4754CF2-3C56-4BB6-847A-E869E956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5" name="Imagen 304" descr="http://www.icbf.gov.co/images/pobtrans.gif">
          <a:extLst>
            <a:ext uri="{FF2B5EF4-FFF2-40B4-BE49-F238E27FC236}">
              <a16:creationId xmlns:a16="http://schemas.microsoft.com/office/drawing/2014/main" id="{3144802C-815F-4CB6-923B-2B8E4563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6" name="Imagen 305" descr="http://www.icbf.gov.co/images/pobtrans.gif">
          <a:extLst>
            <a:ext uri="{FF2B5EF4-FFF2-40B4-BE49-F238E27FC236}">
              <a16:creationId xmlns:a16="http://schemas.microsoft.com/office/drawing/2014/main" id="{0272C1F1-AF38-4D3A-B7AD-BE33E534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7" name="Imagen 306" descr="http://www.icbf.gov.co/images/pobtrans.gif">
          <a:extLst>
            <a:ext uri="{FF2B5EF4-FFF2-40B4-BE49-F238E27FC236}">
              <a16:creationId xmlns:a16="http://schemas.microsoft.com/office/drawing/2014/main" id="{64F721FA-89EA-419A-A185-2905CB95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8" name="Imagen 307" descr="http://www.icbf.gov.co/images/pobtrans.gif">
          <a:extLst>
            <a:ext uri="{FF2B5EF4-FFF2-40B4-BE49-F238E27FC236}">
              <a16:creationId xmlns:a16="http://schemas.microsoft.com/office/drawing/2014/main" id="{D9707516-DDA7-4F1F-95B5-2B006307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09" name="Imagen 308" descr="http://www.icbf.gov.co/images/pobtrans.gif">
          <a:extLst>
            <a:ext uri="{FF2B5EF4-FFF2-40B4-BE49-F238E27FC236}">
              <a16:creationId xmlns:a16="http://schemas.microsoft.com/office/drawing/2014/main" id="{C232375E-8180-4426-9CAA-612580F1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0" name="Imagen 309" descr="http://www.icbf.gov.co/images/pobtrans.gif">
          <a:extLst>
            <a:ext uri="{FF2B5EF4-FFF2-40B4-BE49-F238E27FC236}">
              <a16:creationId xmlns:a16="http://schemas.microsoft.com/office/drawing/2014/main" id="{C4C2777E-8038-4C2D-97BC-55AB4DE3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1" name="Imagen 310" descr="http://www.icbf.gov.co/images/pobtrans.gif">
          <a:extLst>
            <a:ext uri="{FF2B5EF4-FFF2-40B4-BE49-F238E27FC236}">
              <a16:creationId xmlns:a16="http://schemas.microsoft.com/office/drawing/2014/main" id="{5BFF2B0B-F492-4B7A-A2F2-433CAF38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2" name="Imagen 311" descr="http://www.icbf.gov.co/images/pobtrans.gif">
          <a:extLst>
            <a:ext uri="{FF2B5EF4-FFF2-40B4-BE49-F238E27FC236}">
              <a16:creationId xmlns:a16="http://schemas.microsoft.com/office/drawing/2014/main" id="{0B23FB46-CA4A-4D54-B53E-077A8319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3" name="Imagen 312" descr="http://www.icbf.gov.co/images/pobtrans.gif">
          <a:extLst>
            <a:ext uri="{FF2B5EF4-FFF2-40B4-BE49-F238E27FC236}">
              <a16:creationId xmlns:a16="http://schemas.microsoft.com/office/drawing/2014/main" id="{5780A235-8A4C-4661-9CE2-EC00DC4A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4" name="Imagen 313" descr="http://www.icbf.gov.co/images/pobtrans.gif">
          <a:extLst>
            <a:ext uri="{FF2B5EF4-FFF2-40B4-BE49-F238E27FC236}">
              <a16:creationId xmlns:a16="http://schemas.microsoft.com/office/drawing/2014/main" id="{4A682AF4-48CF-4409-A080-3B632E12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5" name="Imagen 314" descr="http://www.icbf.gov.co/images/pobtrans.gif">
          <a:extLst>
            <a:ext uri="{FF2B5EF4-FFF2-40B4-BE49-F238E27FC236}">
              <a16:creationId xmlns:a16="http://schemas.microsoft.com/office/drawing/2014/main" id="{F577F092-A36B-4EE9-9573-EEF722E4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6" name="Imagen 315" descr="http://www.icbf.gov.co/images/pobtrans.gif">
          <a:extLst>
            <a:ext uri="{FF2B5EF4-FFF2-40B4-BE49-F238E27FC236}">
              <a16:creationId xmlns:a16="http://schemas.microsoft.com/office/drawing/2014/main" id="{F62DD7C4-B97E-48DF-8920-AD73E2F4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7" name="Imagen 316" descr="http://www.icbf.gov.co/images/pobtrans.gif">
          <a:extLst>
            <a:ext uri="{FF2B5EF4-FFF2-40B4-BE49-F238E27FC236}">
              <a16:creationId xmlns:a16="http://schemas.microsoft.com/office/drawing/2014/main" id="{D6B0DF81-28B9-405A-A4F5-E5DEDC0B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4976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8" name="Imagen 317" descr="http://www.icbf.gov.co/images/pobtrans.gif">
          <a:extLst>
            <a:ext uri="{FF2B5EF4-FFF2-40B4-BE49-F238E27FC236}">
              <a16:creationId xmlns:a16="http://schemas.microsoft.com/office/drawing/2014/main" id="{F8C4D228-B5B5-49C5-86CC-B5AD0E14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230975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19" name="Imagen 318" descr="http://www.icbf.gov.co/images/pobtrans.gif">
          <a:extLst>
            <a:ext uri="{FF2B5EF4-FFF2-40B4-BE49-F238E27FC236}">
              <a16:creationId xmlns:a16="http://schemas.microsoft.com/office/drawing/2014/main" id="{6103698B-B6F2-48BB-A29C-C84BAAAB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500057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23812</xdr:colOff>
      <xdr:row>94</xdr:row>
      <xdr:rowOff>0</xdr:rowOff>
    </xdr:from>
    <xdr:ext cx="9525" cy="114300"/>
    <xdr:pic>
      <xdr:nvPicPr>
        <xdr:cNvPr id="320" name="Imagen 319" descr="http://www.icbf.gov.co/images/pobtrans.gif">
          <a:extLst>
            <a:ext uri="{FF2B5EF4-FFF2-40B4-BE49-F238E27FC236}">
              <a16:creationId xmlns:a16="http://schemas.microsoft.com/office/drawing/2014/main" id="{57551B96-D75A-4D55-99EF-487C26CE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9500057"/>
          <a:ext cx="95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CEV/Downloads/Formato%20Mapa%20de%20riesgos%20modificado%2024%20agost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ateneaco-my.sharepoint.com/Users/UsuarioCEV/Downloads/Formato%20Mapa%20de%20riesgos%20modificado%2024%20agost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ntexto Estratégico"/>
      <sheetName val="2. Mapa de riesgos "/>
      <sheetName val="3. Clasificación del riesgo"/>
      <sheetName val="4. Probabilidad"/>
      <sheetName val="5. Impacto"/>
      <sheetName val="6.Tratamiento del riesgo"/>
      <sheetName val="7. Evaluación de Controles"/>
      <sheetName val="Control cambios"/>
      <sheetName val="Listas Validació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ntexto Estratégico"/>
      <sheetName val="2. Mapa de riesgos "/>
      <sheetName val="3. Clasificación del riesgo"/>
      <sheetName val="4. Probabilidad"/>
      <sheetName val="5. Impacto"/>
      <sheetName val="6.Tratamiento del riesgo"/>
      <sheetName val="7. Evaluación de Controles"/>
      <sheetName val="Control cambios"/>
      <sheetName val="Listas Validació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83D2-5830-4720-B4C4-73BC8A9A43BA}">
  <dimension ref="A2:L27"/>
  <sheetViews>
    <sheetView showGridLines="0" topLeftCell="A13" zoomScale="80" zoomScaleNormal="80" workbookViewId="0">
      <selection activeCell="C1" sqref="C1"/>
    </sheetView>
  </sheetViews>
  <sheetFormatPr baseColWidth="10" defaultColWidth="12.5546875" defaultRowHeight="15" customHeight="1" x14ac:dyDescent="0.3"/>
  <cols>
    <col min="1" max="1" width="28.6640625" style="141" customWidth="1"/>
    <col min="2" max="2" width="34.5546875" style="141" customWidth="1"/>
    <col min="3" max="3" width="35.44140625" style="141" customWidth="1"/>
    <col min="4" max="7" width="15.88671875" style="141" customWidth="1"/>
    <col min="8" max="8" width="35.33203125" style="141" bestFit="1" customWidth="1"/>
    <col min="9" max="9" width="11.5546875" style="141" bestFit="1" customWidth="1"/>
    <col min="10" max="10" width="4" style="141" customWidth="1"/>
    <col min="11" max="11" width="10" style="141" customWidth="1"/>
    <col min="12" max="12" width="9.44140625" style="141" customWidth="1"/>
    <col min="13" max="16384" width="12.5546875" style="141"/>
  </cols>
  <sheetData>
    <row r="2" spans="1:12" ht="15" customHeight="1" x14ac:dyDescent="0.3">
      <c r="A2" s="299" t="s">
        <v>0</v>
      </c>
      <c r="B2" s="300"/>
      <c r="C2" s="300"/>
      <c r="D2" s="300"/>
      <c r="E2" s="300"/>
      <c r="F2" s="300"/>
      <c r="G2" s="300"/>
      <c r="H2" s="300"/>
      <c r="I2" s="301"/>
    </row>
    <row r="3" spans="1:12" ht="15" customHeight="1" x14ac:dyDescent="0.3">
      <c r="A3" s="302"/>
      <c r="B3" s="303"/>
      <c r="C3" s="303"/>
      <c r="D3" s="303"/>
      <c r="E3" s="303"/>
      <c r="F3" s="303"/>
      <c r="G3" s="303"/>
      <c r="H3" s="303"/>
      <c r="I3" s="304"/>
    </row>
    <row r="4" spans="1:12" ht="15" customHeight="1" x14ac:dyDescent="0.3">
      <c r="A4" s="302"/>
      <c r="B4" s="303"/>
      <c r="C4" s="303"/>
      <c r="D4" s="303"/>
      <c r="E4" s="303"/>
      <c r="F4" s="303"/>
      <c r="G4" s="303"/>
      <c r="H4" s="303"/>
      <c r="I4" s="304"/>
    </row>
    <row r="5" spans="1:12" ht="28.5" customHeight="1" x14ac:dyDescent="0.3">
      <c r="A5" s="305"/>
      <c r="B5" s="306"/>
      <c r="C5" s="306"/>
      <c r="D5" s="306"/>
      <c r="E5" s="306"/>
      <c r="F5" s="306"/>
      <c r="G5" s="306"/>
      <c r="H5" s="306"/>
      <c r="I5" s="307"/>
    </row>
    <row r="6" spans="1:12" ht="8.25" customHeight="1" x14ac:dyDescent="0.3"/>
    <row r="7" spans="1:12" ht="21" customHeight="1" x14ac:dyDescent="0.3">
      <c r="A7" s="308" t="s">
        <v>1</v>
      </c>
      <c r="B7" s="309"/>
      <c r="C7" s="309"/>
      <c r="D7" s="309"/>
      <c r="E7" s="309"/>
      <c r="F7" s="309"/>
      <c r="G7" s="309"/>
      <c r="H7" s="309"/>
      <c r="I7" s="309"/>
    </row>
    <row r="8" spans="1:12" ht="21" customHeight="1" x14ac:dyDescent="0.3">
      <c r="A8" s="309"/>
      <c r="B8" s="309"/>
      <c r="C8" s="309"/>
      <c r="D8" s="309"/>
      <c r="E8" s="309"/>
      <c r="F8" s="309"/>
      <c r="G8" s="309"/>
      <c r="H8" s="309"/>
      <c r="I8" s="309"/>
    </row>
    <row r="9" spans="1:12" ht="21" customHeight="1" x14ac:dyDescent="0.3">
      <c r="A9" s="309"/>
      <c r="B9" s="309"/>
      <c r="C9" s="309"/>
      <c r="D9" s="309"/>
      <c r="E9" s="309"/>
      <c r="F9" s="309"/>
      <c r="G9" s="309"/>
      <c r="H9" s="309"/>
      <c r="I9" s="309"/>
    </row>
    <row r="10" spans="1:12" ht="30" customHeight="1" x14ac:dyDescent="0.3">
      <c r="A10" s="310" t="s">
        <v>2</v>
      </c>
      <c r="B10" s="311" t="s">
        <v>3</v>
      </c>
      <c r="C10" s="313" t="s">
        <v>4</v>
      </c>
      <c r="D10" s="313"/>
      <c r="E10" s="313"/>
      <c r="F10" s="313"/>
      <c r="G10" s="313"/>
      <c r="H10" s="313"/>
      <c r="I10" s="313"/>
      <c r="J10" s="142"/>
      <c r="K10" s="142"/>
      <c r="L10" s="142"/>
    </row>
    <row r="11" spans="1:12" ht="15" customHeight="1" x14ac:dyDescent="0.3">
      <c r="A11" s="310"/>
      <c r="B11" s="312"/>
      <c r="C11" s="313" t="s">
        <v>5</v>
      </c>
      <c r="D11" s="313"/>
      <c r="E11" s="313"/>
      <c r="F11" s="313"/>
      <c r="G11" s="313"/>
      <c r="H11" s="313"/>
      <c r="I11" s="313"/>
      <c r="J11" s="142"/>
      <c r="K11" s="142"/>
      <c r="L11" s="142"/>
    </row>
    <row r="12" spans="1:12" ht="15" customHeight="1" x14ac:dyDescent="0.3">
      <c r="A12" s="310"/>
      <c r="B12" s="312"/>
      <c r="C12" s="313" t="s">
        <v>6</v>
      </c>
      <c r="D12" s="313"/>
      <c r="E12" s="313"/>
      <c r="F12" s="313"/>
      <c r="G12" s="313"/>
      <c r="H12" s="313"/>
      <c r="I12" s="313"/>
      <c r="J12" s="142"/>
      <c r="K12" s="142"/>
      <c r="L12" s="142"/>
    </row>
    <row r="13" spans="1:12" ht="14.4" x14ac:dyDescent="0.3">
      <c r="A13" s="310"/>
      <c r="B13" s="312"/>
      <c r="C13" s="313"/>
      <c r="D13" s="313"/>
      <c r="E13" s="313"/>
      <c r="F13" s="313"/>
      <c r="G13" s="313"/>
      <c r="H13" s="313"/>
      <c r="I13" s="313"/>
      <c r="J13" s="142"/>
      <c r="K13" s="142"/>
      <c r="L13" s="142"/>
    </row>
    <row r="14" spans="1:12" ht="14.4" x14ac:dyDescent="0.3">
      <c r="A14" s="310"/>
      <c r="B14" s="312"/>
      <c r="C14" s="313"/>
      <c r="D14" s="313"/>
      <c r="E14" s="313"/>
      <c r="F14" s="313"/>
      <c r="G14" s="313"/>
      <c r="H14" s="313"/>
      <c r="I14" s="313"/>
      <c r="J14" s="142"/>
      <c r="K14" s="142"/>
      <c r="L14" s="142"/>
    </row>
    <row r="15" spans="1:12" ht="32.4" customHeight="1" x14ac:dyDescent="0.3">
      <c r="A15" s="310"/>
      <c r="B15" s="312"/>
      <c r="C15" s="313"/>
      <c r="D15" s="313"/>
      <c r="E15" s="313"/>
      <c r="F15" s="313"/>
      <c r="G15" s="313"/>
      <c r="H15" s="313"/>
      <c r="I15" s="313"/>
      <c r="J15" s="142"/>
      <c r="K15" s="142"/>
      <c r="L15" s="142"/>
    </row>
    <row r="16" spans="1:12" ht="32.1" customHeight="1" x14ac:dyDescent="0.3">
      <c r="A16" s="310"/>
      <c r="B16" s="311" t="s">
        <v>7</v>
      </c>
      <c r="C16" s="313" t="s">
        <v>8</v>
      </c>
      <c r="D16" s="313"/>
      <c r="E16" s="313"/>
      <c r="F16" s="313"/>
      <c r="G16" s="313"/>
      <c r="H16" s="313"/>
      <c r="I16" s="313"/>
      <c r="J16" s="143"/>
      <c r="K16" s="143"/>
    </row>
    <row r="17" spans="1:11" ht="15.6" x14ac:dyDescent="0.3">
      <c r="A17" s="310"/>
      <c r="B17" s="312"/>
      <c r="C17" s="313" t="s">
        <v>9</v>
      </c>
      <c r="D17" s="313"/>
      <c r="E17" s="313"/>
      <c r="F17" s="313"/>
      <c r="G17" s="313"/>
      <c r="H17" s="313"/>
      <c r="I17" s="313"/>
      <c r="J17" s="143"/>
      <c r="K17" s="143"/>
    </row>
    <row r="18" spans="1:11" ht="35.1" customHeight="1" x14ac:dyDescent="0.3">
      <c r="A18" s="310"/>
      <c r="B18" s="312"/>
      <c r="C18" s="313" t="s">
        <v>10</v>
      </c>
      <c r="D18" s="313"/>
      <c r="E18" s="313"/>
      <c r="F18" s="313"/>
      <c r="G18" s="313"/>
      <c r="H18" s="313"/>
      <c r="I18" s="313"/>
      <c r="J18" s="143"/>
      <c r="K18" s="143"/>
    </row>
    <row r="19" spans="1:11" ht="15.6" x14ac:dyDescent="0.3">
      <c r="A19" s="310"/>
      <c r="B19" s="312"/>
      <c r="C19" s="313"/>
      <c r="D19" s="313"/>
      <c r="E19" s="313"/>
      <c r="F19" s="313"/>
      <c r="G19" s="313"/>
      <c r="H19" s="313"/>
      <c r="I19" s="313"/>
      <c r="J19" s="143"/>
      <c r="K19" s="143"/>
    </row>
    <row r="20" spans="1:11" ht="15.6" x14ac:dyDescent="0.3">
      <c r="A20" s="310"/>
      <c r="B20" s="312"/>
      <c r="C20" s="313"/>
      <c r="D20" s="313"/>
      <c r="E20" s="313"/>
      <c r="F20" s="313"/>
      <c r="G20" s="313"/>
      <c r="H20" s="313"/>
      <c r="I20" s="313"/>
      <c r="J20" s="143"/>
      <c r="K20" s="143"/>
    </row>
    <row r="21" spans="1:11" ht="15.6" x14ac:dyDescent="0.3">
      <c r="A21" s="310"/>
      <c r="B21" s="312"/>
      <c r="C21" s="313"/>
      <c r="D21" s="313"/>
      <c r="E21" s="313"/>
      <c r="F21" s="313"/>
      <c r="G21" s="313"/>
      <c r="H21" s="313"/>
      <c r="I21" s="313"/>
      <c r="J21" s="143"/>
      <c r="K21" s="143"/>
    </row>
    <row r="22" spans="1:11" ht="15.6" x14ac:dyDescent="0.3">
      <c r="A22" s="310"/>
      <c r="B22" s="311" t="s">
        <v>11</v>
      </c>
      <c r="C22" s="313" t="s">
        <v>12</v>
      </c>
      <c r="D22" s="313"/>
      <c r="E22" s="313"/>
      <c r="F22" s="313"/>
      <c r="G22" s="313"/>
      <c r="H22" s="313"/>
      <c r="I22" s="313"/>
      <c r="J22" s="143"/>
      <c r="K22" s="143"/>
    </row>
    <row r="23" spans="1:11" ht="15.6" x14ac:dyDescent="0.3">
      <c r="A23" s="310"/>
      <c r="B23" s="312"/>
      <c r="C23" s="313" t="s">
        <v>13</v>
      </c>
      <c r="D23" s="313"/>
      <c r="E23" s="313"/>
      <c r="F23" s="313"/>
      <c r="G23" s="313"/>
      <c r="H23" s="313"/>
      <c r="I23" s="313"/>
      <c r="J23" s="143"/>
      <c r="K23" s="143"/>
    </row>
    <row r="24" spans="1:11" ht="15.6" x14ac:dyDescent="0.3">
      <c r="A24" s="310"/>
      <c r="B24" s="312"/>
      <c r="C24" s="313" t="s">
        <v>14</v>
      </c>
      <c r="D24" s="313"/>
      <c r="E24" s="313"/>
      <c r="F24" s="313"/>
      <c r="G24" s="313"/>
      <c r="H24" s="313"/>
      <c r="I24" s="313"/>
      <c r="J24" s="143"/>
      <c r="K24" s="143"/>
    </row>
    <row r="25" spans="1:11" ht="15.6" x14ac:dyDescent="0.3">
      <c r="A25" s="310"/>
      <c r="B25" s="312"/>
      <c r="C25" s="313" t="s">
        <v>15</v>
      </c>
      <c r="D25" s="313"/>
      <c r="E25" s="313"/>
      <c r="F25" s="313"/>
      <c r="G25" s="313"/>
      <c r="H25" s="313"/>
      <c r="I25" s="313"/>
      <c r="J25" s="143"/>
      <c r="K25" s="143"/>
    </row>
    <row r="26" spans="1:11" ht="15.6" x14ac:dyDescent="0.3">
      <c r="A26" s="310"/>
      <c r="B26" s="312"/>
      <c r="C26" s="313"/>
      <c r="D26" s="313"/>
      <c r="E26" s="313"/>
      <c r="F26" s="313"/>
      <c r="G26" s="313"/>
      <c r="H26" s="313"/>
      <c r="I26" s="313"/>
      <c r="J26" s="143"/>
      <c r="K26" s="143"/>
    </row>
    <row r="27" spans="1:11" ht="15.6" x14ac:dyDescent="0.3">
      <c r="A27" s="310"/>
      <c r="B27" s="312"/>
      <c r="C27" s="313"/>
      <c r="D27" s="313"/>
      <c r="E27" s="313"/>
      <c r="F27" s="313"/>
      <c r="G27" s="313"/>
      <c r="H27" s="313"/>
      <c r="I27" s="313"/>
      <c r="J27" s="143"/>
      <c r="K27" s="143"/>
    </row>
  </sheetData>
  <mergeCells count="24">
    <mergeCell ref="C21:I21"/>
    <mergeCell ref="B22:B27"/>
    <mergeCell ref="C22:I22"/>
    <mergeCell ref="C23:I23"/>
    <mergeCell ref="C24:I24"/>
    <mergeCell ref="C25:I25"/>
    <mergeCell ref="C26:I26"/>
    <mergeCell ref="C27:I27"/>
    <mergeCell ref="A2:I5"/>
    <mergeCell ref="A7:I9"/>
    <mergeCell ref="A10:A27"/>
    <mergeCell ref="B10:B15"/>
    <mergeCell ref="C10:I10"/>
    <mergeCell ref="C11:I11"/>
    <mergeCell ref="C12:I12"/>
    <mergeCell ref="C13:I13"/>
    <mergeCell ref="C14:I14"/>
    <mergeCell ref="C15:I15"/>
    <mergeCell ref="B16:B21"/>
    <mergeCell ref="C16:I16"/>
    <mergeCell ref="C17:I17"/>
    <mergeCell ref="C18:I18"/>
    <mergeCell ref="C19:I19"/>
    <mergeCell ref="C20:I2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D1D5-AD3E-4BA6-A1DD-8D08CCDC10E8}">
  <sheetPr>
    <tabColor rgb="FFFFC000"/>
  </sheetPr>
  <dimension ref="A1:CA21"/>
  <sheetViews>
    <sheetView showGridLines="0" tabSelected="1" zoomScale="55" zoomScaleNormal="55" workbookViewId="0">
      <selection activeCell="A6" sqref="A6:I6"/>
    </sheetView>
  </sheetViews>
  <sheetFormatPr baseColWidth="10" defaultColWidth="11.44140625" defaultRowHeight="14.4" x14ac:dyDescent="0.3"/>
  <cols>
    <col min="1" max="2" width="25.33203125" style="116" customWidth="1"/>
    <col min="3" max="3" width="29.33203125" style="164" customWidth="1"/>
    <col min="4" max="4" width="67" style="164" customWidth="1"/>
    <col min="5" max="5" width="24.33203125" style="164" customWidth="1"/>
    <col min="6" max="6" width="19.6640625" style="116" customWidth="1"/>
    <col min="7" max="7" width="25.5546875" style="116" customWidth="1"/>
    <col min="8" max="8" width="27" style="116" customWidth="1"/>
    <col min="9" max="9" width="66.6640625" style="116" customWidth="1"/>
    <col min="10" max="10" width="44.33203125" style="116" customWidth="1"/>
    <col min="11" max="11" width="68.5546875" style="116" customWidth="1"/>
    <col min="12" max="12" width="23.33203125" style="116" customWidth="1"/>
    <col min="13" max="13" width="26.88671875" style="116" customWidth="1"/>
    <col min="14" max="14" width="26.33203125" style="116" customWidth="1"/>
    <col min="15" max="15" width="44.33203125" style="116" customWidth="1"/>
    <col min="16" max="16" width="28" style="116" customWidth="1"/>
    <col min="17" max="17" width="88.88671875" style="116" customWidth="1"/>
    <col min="18" max="18" width="73.6640625" style="116" customWidth="1"/>
    <col min="19" max="19" width="30" style="116" customWidth="1"/>
    <col min="20" max="22" width="18.6640625" style="116" customWidth="1"/>
    <col min="23" max="23" width="90.6640625" style="116" customWidth="1"/>
    <col min="24" max="24" width="42" style="116" customWidth="1"/>
    <col min="25" max="25" width="43.44140625" style="116" bestFit="1" customWidth="1"/>
    <col min="26" max="26" width="36.44140625" style="116" customWidth="1"/>
    <col min="27" max="16384" width="11.44140625" style="116"/>
  </cols>
  <sheetData>
    <row r="1" spans="1:79" s="90" customFormat="1" ht="18.600000000000001" customHeight="1" x14ac:dyDescent="0.3">
      <c r="A1" s="356" t="s">
        <v>293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7"/>
      <c r="Y1" s="153" t="s">
        <v>294</v>
      </c>
      <c r="Z1" s="154" t="s">
        <v>295</v>
      </c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</row>
    <row r="2" spans="1:79" s="90" customFormat="1" ht="18.600000000000001" customHeight="1" x14ac:dyDescent="0.3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58"/>
      <c r="Y2" s="155" t="s">
        <v>296</v>
      </c>
      <c r="Z2" s="156">
        <v>2</v>
      </c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</row>
    <row r="3" spans="1:79" s="90" customFormat="1" ht="18.600000000000001" customHeight="1" x14ac:dyDescent="0.3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58"/>
      <c r="Y3" s="155" t="s">
        <v>297</v>
      </c>
      <c r="Z3" s="157">
        <v>46052</v>
      </c>
      <c r="AA3" s="94"/>
      <c r="AB3" s="94"/>
      <c r="AC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S3" s="94"/>
      <c r="BT3" s="94"/>
      <c r="BU3" s="94"/>
      <c r="BV3" s="94"/>
      <c r="BW3" s="94"/>
      <c r="BX3" s="94"/>
      <c r="BY3" s="95"/>
      <c r="BZ3" s="95"/>
      <c r="CA3" s="95"/>
    </row>
    <row r="4" spans="1:79" s="90" customFormat="1" ht="18.600000000000001" customHeight="1" thickBot="1" x14ac:dyDescent="0.35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60"/>
      <c r="Y4" s="158" t="s">
        <v>298</v>
      </c>
      <c r="Z4" s="123" t="s">
        <v>299</v>
      </c>
      <c r="AA4" s="94"/>
      <c r="AB4" s="94"/>
      <c r="AC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S4" s="94"/>
      <c r="BT4" s="94"/>
      <c r="BU4" s="94"/>
      <c r="BV4" s="94"/>
      <c r="BW4" s="94"/>
      <c r="BX4" s="94"/>
      <c r="BY4" s="95"/>
      <c r="BZ4" s="95"/>
      <c r="CA4" s="95"/>
    </row>
    <row r="5" spans="1:79" s="161" customFormat="1" ht="24.75" customHeight="1" x14ac:dyDescent="0.3">
      <c r="A5" s="159"/>
      <c r="B5" s="159"/>
      <c r="C5" s="159"/>
      <c r="D5" s="159"/>
      <c r="E5" s="159"/>
      <c r="F5" s="160"/>
      <c r="G5" s="160"/>
      <c r="H5" s="160"/>
      <c r="I5" s="160"/>
    </row>
    <row r="6" spans="1:79" s="161" customFormat="1" ht="42.75" customHeight="1" x14ac:dyDescent="0.3">
      <c r="A6" s="363" t="s">
        <v>300</v>
      </c>
      <c r="B6" s="363"/>
      <c r="C6" s="363"/>
      <c r="D6" s="363"/>
      <c r="E6" s="363"/>
      <c r="F6" s="363"/>
      <c r="G6" s="363"/>
      <c r="H6" s="363"/>
      <c r="I6" s="363"/>
      <c r="J6" s="361" t="s">
        <v>301</v>
      </c>
      <c r="K6" s="361"/>
      <c r="L6" s="361"/>
      <c r="M6" s="361"/>
      <c r="N6" s="361"/>
      <c r="O6" s="361"/>
      <c r="P6" s="361"/>
      <c r="Q6" s="364" t="s">
        <v>302</v>
      </c>
      <c r="R6" s="365"/>
      <c r="S6" s="365"/>
      <c r="T6" s="365"/>
      <c r="U6" s="365"/>
      <c r="V6" s="366"/>
      <c r="W6" s="362" t="s">
        <v>303</v>
      </c>
      <c r="X6" s="362"/>
      <c r="Y6" s="362" t="s">
        <v>304</v>
      </c>
      <c r="Z6" s="362"/>
    </row>
    <row r="7" spans="1:79" s="162" customFormat="1" ht="54" x14ac:dyDescent="0.3">
      <c r="A7" s="278" t="s">
        <v>305</v>
      </c>
      <c r="B7" s="279" t="s">
        <v>115</v>
      </c>
      <c r="C7" s="278" t="s">
        <v>250</v>
      </c>
      <c r="D7" s="278" t="s">
        <v>306</v>
      </c>
      <c r="E7" s="278" t="s">
        <v>253</v>
      </c>
      <c r="F7" s="278" t="s">
        <v>307</v>
      </c>
      <c r="G7" s="278" t="s">
        <v>308</v>
      </c>
      <c r="H7" s="278" t="s">
        <v>309</v>
      </c>
      <c r="I7" s="278" t="s">
        <v>310</v>
      </c>
      <c r="J7" s="280" t="s">
        <v>311</v>
      </c>
      <c r="K7" s="281" t="s">
        <v>312</v>
      </c>
      <c r="L7" s="280" t="s">
        <v>313</v>
      </c>
      <c r="M7" s="280" t="s">
        <v>314</v>
      </c>
      <c r="N7" s="280" t="s">
        <v>315</v>
      </c>
      <c r="O7" s="280" t="s">
        <v>316</v>
      </c>
      <c r="P7" s="280" t="s">
        <v>317</v>
      </c>
      <c r="Q7" s="226" t="s">
        <v>318</v>
      </c>
      <c r="R7" s="226" t="s">
        <v>319</v>
      </c>
      <c r="S7" s="226" t="s">
        <v>320</v>
      </c>
      <c r="T7" s="353" t="s">
        <v>321</v>
      </c>
      <c r="U7" s="354"/>
      <c r="V7" s="355"/>
      <c r="W7" s="227" t="s">
        <v>322</v>
      </c>
      <c r="X7" s="227" t="s">
        <v>323</v>
      </c>
      <c r="Y7" s="227" t="s">
        <v>324</v>
      </c>
      <c r="Z7" s="227" t="s">
        <v>325</v>
      </c>
    </row>
    <row r="8" spans="1:79" s="163" customFormat="1" ht="15.6" x14ac:dyDescent="0.3">
      <c r="A8" s="288">
        <f>'Identificación de Riesgos'!A8</f>
        <v>0</v>
      </c>
      <c r="B8" s="288" t="str">
        <f>IFERROR(VLOOKUP(A8,'Identificación de Riesgos'!$A$8:$Y$18,2,FALSE),"")</f>
        <v/>
      </c>
      <c r="C8" s="288" t="str">
        <f>IFERROR(VLOOKUP(A8,'Identificación de Riesgos'!$A$8:$Y$18,3,FALSE),"")</f>
        <v/>
      </c>
      <c r="D8" s="289" t="str">
        <f>IFERROR(VLOOKUP(A8,'Identificación de Riesgos'!$A$8:$Y$18,10,FALSE),"")</f>
        <v/>
      </c>
      <c r="E8" s="288" t="str">
        <f>IFERROR(VLOOKUP(A8,'Identificación de Riesgos'!$A$8:$Y$18,6,FALSE),"")</f>
        <v/>
      </c>
      <c r="F8" s="282" t="str">
        <f>IFERROR(VLOOKUP(A8,'Identificación de Riesgos'!$A$8:$Y$18,25,FALSE),"")</f>
        <v/>
      </c>
      <c r="G8" s="290" t="str">
        <f>VLOOKUP(A8,Residual!$A$4:$B$15,2,FALSE)</f>
        <v/>
      </c>
      <c r="H8" s="266"/>
      <c r="I8" s="288" t="str">
        <f>IFERROR(VLOOKUP(A8,KRI!$A$5:$N$16,2,FALSE),"")</f>
        <v/>
      </c>
      <c r="J8" s="266"/>
      <c r="K8" s="240"/>
      <c r="L8" s="267"/>
      <c r="M8" s="267"/>
      <c r="N8" s="267"/>
      <c r="O8" s="268"/>
      <c r="P8" s="267"/>
      <c r="Q8" s="266"/>
      <c r="R8" s="266"/>
      <c r="S8" s="266"/>
      <c r="T8" s="295" t="str">
        <f>IFERROR(VLOOKUP(A8,KRI!$A$5:$N$16,12,FALSE),"")</f>
        <v/>
      </c>
      <c r="U8" s="296" t="str">
        <f>IFERROR(VLOOKUP(A8,KRI!$A$5:$N$16,13,FALSE),"")</f>
        <v/>
      </c>
      <c r="V8" s="297" t="str">
        <f>IFERROR(VLOOKUP(A8,KRI!$A$5:$N$16,14,FALSE),"")</f>
        <v/>
      </c>
      <c r="W8" s="273"/>
      <c r="X8" s="274"/>
      <c r="Y8" s="275"/>
      <c r="Z8" s="274"/>
    </row>
    <row r="9" spans="1:79" s="117" customFormat="1" ht="17.399999999999999" x14ac:dyDescent="0.3">
      <c r="A9" s="288">
        <f>'Identificación de Riesgos'!A9</f>
        <v>0</v>
      </c>
      <c r="B9" s="288" t="str">
        <f>IFERROR(VLOOKUP(A9,'Identificación de Riesgos'!$A$8:$Y$18,2,FALSE),"")</f>
        <v/>
      </c>
      <c r="C9" s="288" t="str">
        <f>IFERROR(VLOOKUP(A9,'Identificación de Riesgos'!$A$8:$Y$18,3,FALSE),"")</f>
        <v/>
      </c>
      <c r="D9" s="289" t="str">
        <f>IFERROR(VLOOKUP(A9,'Identificación de Riesgos'!$A$8:$Y$18,10,FALSE),"")</f>
        <v/>
      </c>
      <c r="E9" s="288" t="str">
        <f>IFERROR(VLOOKUP(A9,'Identificación de Riesgos'!$A$8:$Y$18,6,FALSE),"")</f>
        <v/>
      </c>
      <c r="F9" s="282" t="str">
        <f>IFERROR(VLOOKUP(A9,'Identificación de Riesgos'!$A$8:$Y$18,25,FALSE),"")</f>
        <v/>
      </c>
      <c r="G9" s="290" t="str">
        <f>VLOOKUP(A9,Residual!$A$4:$B$15,2,FALSE)</f>
        <v/>
      </c>
      <c r="H9" s="266"/>
      <c r="I9" s="288" t="str">
        <f>IFERROR(VLOOKUP(A9,KRI!$A$5:$N$16,2,FALSE),"")</f>
        <v/>
      </c>
      <c r="J9" s="266"/>
      <c r="K9" s="240"/>
      <c r="L9" s="267"/>
      <c r="M9" s="267"/>
      <c r="N9" s="267"/>
      <c r="O9" s="240"/>
      <c r="P9" s="267"/>
      <c r="Q9" s="269"/>
      <c r="R9" s="266"/>
      <c r="S9" s="266"/>
      <c r="T9" s="270" t="str">
        <f>IFERROR(VLOOKUP(A9,KRI!$A$5:$N$16,12,FALSE),"")</f>
        <v/>
      </c>
      <c r="U9" s="271" t="str">
        <f>IFERROR(VLOOKUP(A9,KRI!$A$5:$N$16,13,FALSE),"")</f>
        <v/>
      </c>
      <c r="V9" s="272" t="str">
        <f>IFERROR(VLOOKUP(A9,KRI!$A$5:$N$16,14,FALSE),"")</f>
        <v/>
      </c>
      <c r="W9" s="273"/>
      <c r="X9" s="274"/>
      <c r="Y9" s="275"/>
      <c r="Z9" s="274"/>
    </row>
    <row r="10" spans="1:79" s="117" customFormat="1" ht="15.6" x14ac:dyDescent="0.3">
      <c r="A10" s="288">
        <f>'Identificación de Riesgos'!A10</f>
        <v>0</v>
      </c>
      <c r="B10" s="288" t="str">
        <f>IFERROR(VLOOKUP(A10,'Identificación de Riesgos'!$A$8:$Y$18,2,FALSE),"")</f>
        <v/>
      </c>
      <c r="C10" s="288" t="str">
        <f>IFERROR(VLOOKUP(A10,'Identificación de Riesgos'!$A$8:$Y$18,3,FALSE),"")</f>
        <v/>
      </c>
      <c r="D10" s="289" t="str">
        <f>IFERROR(VLOOKUP(A10,'Identificación de Riesgos'!$A$8:$Y$18,10,FALSE),"")</f>
        <v/>
      </c>
      <c r="E10" s="288" t="str">
        <f>IFERROR(VLOOKUP(A10,'Identificación de Riesgos'!$A$8:$Y$18,6,FALSE),"")</f>
        <v/>
      </c>
      <c r="F10" s="282" t="str">
        <f>IFERROR(VLOOKUP(A10,'Identificación de Riesgos'!$A$8:$Y$18,25,FALSE),"")</f>
        <v/>
      </c>
      <c r="G10" s="290" t="str">
        <f>VLOOKUP(A10,Residual!$A$4:$B$15,2,FALSE)</f>
        <v/>
      </c>
      <c r="H10" s="266"/>
      <c r="I10" s="288" t="str">
        <f>IFERROR(VLOOKUP(A10,KRI!$A$5:$N$16,2,FALSE),"")</f>
        <v/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270" t="str">
        <f>IFERROR(VLOOKUP(A10,KRI!$A$5:$N$16,12,FALSE),"")</f>
        <v/>
      </c>
      <c r="U10" s="271" t="str">
        <f>IFERROR(VLOOKUP(A10,KRI!$A$5:$N$16,13,FALSE),"")</f>
        <v/>
      </c>
      <c r="V10" s="272" t="str">
        <f>IFERROR(VLOOKUP(A10,KRI!$A$5:$N$16,14,FALSE),"")</f>
        <v/>
      </c>
      <c r="W10" s="43"/>
      <c r="X10" s="276"/>
      <c r="Y10" s="276"/>
      <c r="Z10" s="276"/>
    </row>
    <row r="11" spans="1:79" s="117" customFormat="1" ht="14.4" customHeight="1" x14ac:dyDescent="0.3">
      <c r="A11" s="288">
        <f>'Identificación de Riesgos'!A11</f>
        <v>0</v>
      </c>
      <c r="B11" s="288" t="str">
        <f>IFERROR(VLOOKUP(A11,'Identificación de Riesgos'!$A$8:$Y$18,2,FALSE),"")</f>
        <v/>
      </c>
      <c r="C11" s="288" t="str">
        <f>IFERROR(VLOOKUP(A11,'Identificación de Riesgos'!$A$8:$Y$18,3,FALSE),"")</f>
        <v/>
      </c>
      <c r="D11" s="289" t="str">
        <f>IFERROR(VLOOKUP(A11,'Identificación de Riesgos'!$A$8:$Y$18,10,FALSE),"")</f>
        <v/>
      </c>
      <c r="E11" s="288" t="str">
        <f>IFERROR(VLOOKUP(A11,'Identificación de Riesgos'!$A$8:$Y$18,6,FALSE),"")</f>
        <v/>
      </c>
      <c r="F11" s="282" t="str">
        <f>IFERROR(VLOOKUP(A11,'Identificación de Riesgos'!$A$8:$Y$18,25,FALSE),"")</f>
        <v/>
      </c>
      <c r="G11" s="290" t="str">
        <f>VLOOKUP(A11,Residual!$A$4:$B$15,2,FALSE)</f>
        <v/>
      </c>
      <c r="H11" s="266"/>
      <c r="I11" s="288" t="str">
        <f>IFERROR(VLOOKUP(A11,KRI!$A$5:$N$16,2,FALSE),"")</f>
        <v/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270" t="str">
        <f>IFERROR(VLOOKUP(A11,KRI!$A$5:$N$16,12,FALSE),"")</f>
        <v/>
      </c>
      <c r="U11" s="271" t="str">
        <f>IFERROR(VLOOKUP(A11,KRI!$A$5:$N$16,13,FALSE),"")</f>
        <v/>
      </c>
      <c r="V11" s="272" t="str">
        <f>IFERROR(VLOOKUP(A11,KRI!$A$5:$N$16,14,FALSE),"")</f>
        <v/>
      </c>
      <c r="W11" s="43"/>
      <c r="X11" s="43"/>
      <c r="Y11" s="43"/>
      <c r="Z11" s="277"/>
    </row>
    <row r="12" spans="1:79" s="117" customFormat="1" ht="14.4" customHeight="1" x14ac:dyDescent="0.3">
      <c r="A12" s="288">
        <f>'Identificación de Riesgos'!A12</f>
        <v>0</v>
      </c>
      <c r="B12" s="288" t="str">
        <f>IFERROR(VLOOKUP(A12,'Identificación de Riesgos'!$A$8:$Y$18,2,FALSE),"")</f>
        <v/>
      </c>
      <c r="C12" s="288" t="str">
        <f>IFERROR(VLOOKUP(A12,'Identificación de Riesgos'!$A$8:$Y$18,3,FALSE),"")</f>
        <v/>
      </c>
      <c r="D12" s="289" t="str">
        <f>IFERROR(VLOOKUP(A12,'Identificación de Riesgos'!$A$8:$Y$18,10,FALSE),"")</f>
        <v/>
      </c>
      <c r="E12" s="288" t="str">
        <f>IFERROR(VLOOKUP(A12,'Identificación de Riesgos'!$A$8:$Y$18,6,FALSE),"")</f>
        <v/>
      </c>
      <c r="F12" s="282" t="str">
        <f>IFERROR(VLOOKUP(A12,'Identificación de Riesgos'!$A$8:$Y$18,25,FALSE),"")</f>
        <v/>
      </c>
      <c r="G12" s="290" t="str">
        <f>VLOOKUP(A12,Residual!$A$4:$B$15,2,FALSE)</f>
        <v/>
      </c>
      <c r="H12" s="266"/>
      <c r="I12" s="288" t="str">
        <f>IFERROR(VLOOKUP(A12,KRI!$A$5:$N$16,2,FALSE),"")</f>
        <v/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270" t="str">
        <f>IFERROR(VLOOKUP(A12,KRI!$A$5:$N$16,12,FALSE),"")</f>
        <v/>
      </c>
      <c r="U12" s="271" t="str">
        <f>IFERROR(VLOOKUP(A12,KRI!$A$5:$N$16,13,FALSE),"")</f>
        <v/>
      </c>
      <c r="V12" s="272" t="str">
        <f>IFERROR(VLOOKUP(A12,KRI!$A$5:$N$16,14,FALSE),"")</f>
        <v/>
      </c>
      <c r="W12" s="43"/>
      <c r="X12" s="43"/>
      <c r="Y12" s="43"/>
      <c r="Z12" s="43"/>
    </row>
    <row r="13" spans="1:79" s="117" customFormat="1" ht="15" customHeight="1" x14ac:dyDescent="0.3">
      <c r="A13" s="288">
        <f>'Identificación de Riesgos'!A13</f>
        <v>0</v>
      </c>
      <c r="B13" s="288" t="str">
        <f>IFERROR(VLOOKUP(A13,'Identificación de Riesgos'!$A$8:$Y$18,2,FALSE),"")</f>
        <v/>
      </c>
      <c r="C13" s="288" t="str">
        <f>IFERROR(VLOOKUP(A13,'Identificación de Riesgos'!$A$8:$Y$18,3,FALSE),"")</f>
        <v/>
      </c>
      <c r="D13" s="289" t="str">
        <f>IFERROR(VLOOKUP(A13,'Identificación de Riesgos'!$A$8:$Y$18,10,FALSE),"")</f>
        <v/>
      </c>
      <c r="E13" s="288" t="str">
        <f>IFERROR(VLOOKUP(A13,'Identificación de Riesgos'!$A$8:$Y$18,6,FALSE),"")</f>
        <v/>
      </c>
      <c r="F13" s="282" t="str">
        <f>IFERROR(VLOOKUP(A13,'Identificación de Riesgos'!$A$8:$Y$18,25,FALSE),"")</f>
        <v/>
      </c>
      <c r="G13" s="290" t="str">
        <f>VLOOKUP(A13,Residual!$A$4:$B$15,2,FALSE)</f>
        <v/>
      </c>
      <c r="H13" s="266"/>
      <c r="I13" s="288" t="str">
        <f>IFERROR(VLOOKUP(A13,KRI!$A$5:$N$16,2,FALSE),"")</f>
        <v/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270" t="str">
        <f>IFERROR(VLOOKUP(A13,KRI!$A$5:$N$16,12,FALSE),"")</f>
        <v/>
      </c>
      <c r="U13" s="271" t="str">
        <f>IFERROR(VLOOKUP(A13,KRI!$A$5:$N$16,13,FALSE),"")</f>
        <v/>
      </c>
      <c r="V13" s="272" t="str">
        <f>IFERROR(VLOOKUP(A13,KRI!$A$5:$N$16,14,FALSE),"")</f>
        <v/>
      </c>
      <c r="W13" s="43"/>
      <c r="X13" s="43"/>
      <c r="Y13" s="43"/>
      <c r="Z13" s="43"/>
    </row>
    <row r="14" spans="1:79" s="117" customFormat="1" ht="14.4" customHeight="1" x14ac:dyDescent="0.3">
      <c r="A14" s="288">
        <f>'Identificación de Riesgos'!A14</f>
        <v>0</v>
      </c>
      <c r="B14" s="288" t="str">
        <f>IFERROR(VLOOKUP(A14,'Identificación de Riesgos'!$A$8:$Y$18,2,FALSE),"")</f>
        <v/>
      </c>
      <c r="C14" s="288" t="str">
        <f>IFERROR(VLOOKUP(A14,'Identificación de Riesgos'!$A$8:$Y$18,3,FALSE),"")</f>
        <v/>
      </c>
      <c r="D14" s="289" t="str">
        <f>IFERROR(VLOOKUP(A14,'Identificación de Riesgos'!$A$8:$Y$18,10,FALSE),"")</f>
        <v/>
      </c>
      <c r="E14" s="288" t="str">
        <f>IFERROR(VLOOKUP(A14,'Identificación de Riesgos'!$A$8:$Y$18,6,FALSE),"")</f>
        <v/>
      </c>
      <c r="F14" s="282" t="str">
        <f>IFERROR(VLOOKUP(A14,'Identificación de Riesgos'!$A$8:$Y$18,25,FALSE),"")</f>
        <v/>
      </c>
      <c r="G14" s="290" t="str">
        <f>VLOOKUP(A14,Residual!$A$4:$B$15,2,FALSE)</f>
        <v/>
      </c>
      <c r="H14" s="266"/>
      <c r="I14" s="288" t="str">
        <f>IFERROR(VLOOKUP(A14,KRI!$A$5:$N$16,2,FALSE),"")</f>
        <v/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270" t="str">
        <f>IFERROR(VLOOKUP(A14,KRI!$A$5:$N$16,12,FALSE),"")</f>
        <v/>
      </c>
      <c r="U14" s="271" t="str">
        <f>IFERROR(VLOOKUP(A14,KRI!$A$5:$N$16,13,FALSE),"")</f>
        <v/>
      </c>
      <c r="V14" s="272" t="str">
        <f>IFERROR(VLOOKUP(A14,KRI!$A$5:$N$16,14,FALSE),"")</f>
        <v/>
      </c>
      <c r="W14" s="43"/>
      <c r="X14" s="43"/>
      <c r="Y14" s="43"/>
      <c r="Z14" s="43"/>
    </row>
    <row r="15" spans="1:79" s="117" customFormat="1" ht="14.4" customHeight="1" x14ac:dyDescent="0.3">
      <c r="A15" s="288">
        <f>'Identificación de Riesgos'!A15</f>
        <v>0</v>
      </c>
      <c r="B15" s="288" t="str">
        <f>IFERROR(VLOOKUP(A15,'Identificación de Riesgos'!$A$8:$Y$18,2,FALSE),"")</f>
        <v/>
      </c>
      <c r="C15" s="288" t="str">
        <f>IFERROR(VLOOKUP(A15,'Identificación de Riesgos'!$A$8:$Y$18,3,FALSE),"")</f>
        <v/>
      </c>
      <c r="D15" s="289" t="str">
        <f>IFERROR(VLOOKUP(A15,'Identificación de Riesgos'!$A$8:$Y$18,10,FALSE),"")</f>
        <v/>
      </c>
      <c r="E15" s="288" t="str">
        <f>IFERROR(VLOOKUP(A15,'Identificación de Riesgos'!$A$8:$Y$18,6,FALSE),"")</f>
        <v/>
      </c>
      <c r="F15" s="282" t="str">
        <f>IFERROR(VLOOKUP(A15,'Identificación de Riesgos'!$A$8:$Y$18,25,FALSE),"")</f>
        <v/>
      </c>
      <c r="G15" s="290" t="str">
        <f>VLOOKUP(A15,Residual!$A$4:$B$15,2,FALSE)</f>
        <v/>
      </c>
      <c r="H15" s="266"/>
      <c r="I15" s="288" t="str">
        <f>IFERROR(VLOOKUP(A15,KRI!$A$5:$N$16,2,FALSE),"")</f>
        <v/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270" t="str">
        <f>IFERROR(VLOOKUP(A15,KRI!$A$5:$N$16,12,FALSE),"")</f>
        <v/>
      </c>
      <c r="U15" s="271" t="str">
        <f>IFERROR(VLOOKUP(A15,KRI!$A$5:$N$16,13,FALSE),"")</f>
        <v/>
      </c>
      <c r="V15" s="272" t="str">
        <f>IFERROR(VLOOKUP(A15,KRI!$A$5:$N$16,14,FALSE),"")</f>
        <v/>
      </c>
      <c r="W15" s="43"/>
      <c r="X15" s="43"/>
      <c r="Y15" s="43"/>
      <c r="Z15" s="43"/>
    </row>
    <row r="16" spans="1:79" s="117" customFormat="1" ht="14.4" customHeight="1" x14ac:dyDescent="0.3">
      <c r="A16" s="288">
        <f>'Identificación de Riesgos'!A16</f>
        <v>0</v>
      </c>
      <c r="B16" s="288" t="str">
        <f>IFERROR(VLOOKUP(A16,'Identificación de Riesgos'!$A$8:$Y$18,2,FALSE),"")</f>
        <v/>
      </c>
      <c r="C16" s="288" t="str">
        <f>IFERROR(VLOOKUP(A16,'Identificación de Riesgos'!$A$8:$Y$18,3,FALSE),"")</f>
        <v/>
      </c>
      <c r="D16" s="289" t="str">
        <f>IFERROR(VLOOKUP(A16,'Identificación de Riesgos'!$A$8:$Y$18,10,FALSE),"")</f>
        <v/>
      </c>
      <c r="E16" s="288" t="str">
        <f>IFERROR(VLOOKUP(A16,'Identificación de Riesgos'!$A$8:$Y$18,6,FALSE),"")</f>
        <v/>
      </c>
      <c r="F16" s="282" t="str">
        <f>IFERROR(VLOOKUP(A16,'Identificación de Riesgos'!$A$8:$Y$18,25,FALSE),"")</f>
        <v/>
      </c>
      <c r="G16" s="290" t="str">
        <f>VLOOKUP(A16,Residual!$A$4:$B$15,2,FALSE)</f>
        <v/>
      </c>
      <c r="H16" s="266"/>
      <c r="I16" s="288" t="str">
        <f>IFERROR(VLOOKUP(A16,KRI!$A$5:$N$16,2,FALSE),"")</f>
        <v/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270" t="str">
        <f>IFERROR(VLOOKUP(A16,KRI!$A$5:$N$16,12,FALSE),"")</f>
        <v/>
      </c>
      <c r="U16" s="271" t="str">
        <f>IFERROR(VLOOKUP(A16,KRI!$A$5:$N$16,13,FALSE),"")</f>
        <v/>
      </c>
      <c r="V16" s="272" t="str">
        <f>IFERROR(VLOOKUP(A16,KRI!$A$5:$N$16,14,FALSE),"")</f>
        <v/>
      </c>
      <c r="W16" s="43"/>
      <c r="X16" s="43"/>
      <c r="Y16" s="43"/>
      <c r="Z16" s="43"/>
    </row>
    <row r="17" spans="1:26" s="117" customFormat="1" ht="15" customHeight="1" x14ac:dyDescent="0.3">
      <c r="A17" s="288">
        <f>'Identificación de Riesgos'!A17</f>
        <v>0</v>
      </c>
      <c r="B17" s="288" t="str">
        <f>IFERROR(VLOOKUP(A17,'Identificación de Riesgos'!$A$8:$Y$18,2,FALSE),"")</f>
        <v/>
      </c>
      <c r="C17" s="288" t="str">
        <f>IFERROR(VLOOKUP(A17,'Identificación de Riesgos'!$A$8:$Y$18,3,FALSE),"")</f>
        <v/>
      </c>
      <c r="D17" s="289" t="str">
        <f>IFERROR(VLOOKUP(A17,'Identificación de Riesgos'!$A$8:$Y$18,10,FALSE),"")</f>
        <v/>
      </c>
      <c r="E17" s="288" t="str">
        <f>IFERROR(VLOOKUP(A17,'Identificación de Riesgos'!$A$8:$Y$18,6,FALSE),"")</f>
        <v/>
      </c>
      <c r="F17" s="282" t="str">
        <f>IFERROR(VLOOKUP(A17,'Identificación de Riesgos'!$A$8:$Y$18,25,FALSE),"")</f>
        <v/>
      </c>
      <c r="G17" s="290" t="str">
        <f>VLOOKUP(A17,Residual!$A$4:$B$15,2,FALSE)</f>
        <v/>
      </c>
      <c r="H17" s="266"/>
      <c r="I17" s="288" t="str">
        <f>IFERROR(VLOOKUP(A17,KRI!$A$5:$N$16,2,FALSE),"")</f>
        <v/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70" t="str">
        <f>IFERROR(VLOOKUP(A17,KRI!$A$5:$N$16,12,FALSE),"")</f>
        <v/>
      </c>
      <c r="U17" s="271" t="str">
        <f>IFERROR(VLOOKUP(A17,KRI!$A$5:$N$16,13,FALSE),"")</f>
        <v/>
      </c>
      <c r="V17" s="272" t="str">
        <f>IFERROR(VLOOKUP(A17,KRI!$A$5:$N$16,14,FALSE),"")</f>
        <v/>
      </c>
      <c r="W17" s="43"/>
      <c r="X17" s="43"/>
      <c r="Y17" s="43"/>
      <c r="Z17" s="43"/>
    </row>
    <row r="18" spans="1:26" s="117" customFormat="1" ht="14.4" customHeight="1" x14ac:dyDescent="0.3">
      <c r="A18" s="288">
        <f>'Identificación de Riesgos'!A18</f>
        <v>0</v>
      </c>
      <c r="B18" s="288" t="str">
        <f>IFERROR(VLOOKUP(A18,'Identificación de Riesgos'!$A$8:$Y$18,2,FALSE),"")</f>
        <v/>
      </c>
      <c r="C18" s="288" t="str">
        <f>IFERROR(VLOOKUP(A18,'Identificación de Riesgos'!$A$8:$Y$18,3,FALSE),"")</f>
        <v/>
      </c>
      <c r="D18" s="289" t="str">
        <f>IFERROR(VLOOKUP(A18,'Identificación de Riesgos'!$A$8:$Y$18,10,FALSE),"")</f>
        <v/>
      </c>
      <c r="E18" s="288" t="str">
        <f>IFERROR(VLOOKUP(A18,'Identificación de Riesgos'!$A$8:$Y$18,6,FALSE),"")</f>
        <v/>
      </c>
      <c r="F18" s="282" t="str">
        <f>IFERROR(VLOOKUP(A18,'Identificación de Riesgos'!$A$8:$Y$18,25,FALSE),"")</f>
        <v/>
      </c>
      <c r="G18" s="290" t="str">
        <f>VLOOKUP(A18,Residual!$A$4:$B$15,2,FALSE)</f>
        <v/>
      </c>
      <c r="H18" s="266"/>
      <c r="I18" s="288" t="str">
        <f>IFERROR(VLOOKUP(A18,KRI!$A$5:$N$16,2,FALSE),"")</f>
        <v/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70" t="str">
        <f>IFERROR(VLOOKUP(A18,KRI!$A$5:$N$16,12,FALSE),"")</f>
        <v/>
      </c>
      <c r="U18" s="271" t="str">
        <f>IFERROR(VLOOKUP(A18,KRI!$A$5:$N$16,13,FALSE),"")</f>
        <v/>
      </c>
      <c r="V18" s="272" t="str">
        <f>IFERROR(VLOOKUP(A18,KRI!$A$5:$N$16,14,FALSE),"")</f>
        <v/>
      </c>
      <c r="W18" s="43"/>
      <c r="X18" s="43"/>
      <c r="Y18" s="43"/>
      <c r="Z18" s="43"/>
    </row>
    <row r="19" spans="1:26" s="117" customFormat="1" ht="15" customHeight="1" x14ac:dyDescent="0.3">
      <c r="A19" s="288">
        <f>'Identificación de Riesgos'!A19</f>
        <v>0</v>
      </c>
      <c r="B19" s="288" t="str">
        <f>IFERROR(VLOOKUP(A19,'Identificación de Riesgos'!$A$8:$Y$18,2,FALSE),"")</f>
        <v/>
      </c>
      <c r="C19" s="288" t="str">
        <f>IFERROR(VLOOKUP(A19,'Identificación de Riesgos'!$A$8:$Y$18,3,FALSE),"")</f>
        <v/>
      </c>
      <c r="D19" s="289" t="str">
        <f>IFERROR(VLOOKUP(A19,'Identificación de Riesgos'!$A$8:$Y$18,10,FALSE),"")</f>
        <v/>
      </c>
      <c r="E19" s="288" t="str">
        <f>IFERROR(VLOOKUP(A19,'Identificación de Riesgos'!$A$8:$Y$18,6,FALSE),"")</f>
        <v/>
      </c>
      <c r="F19" s="282" t="str">
        <f>IFERROR(VLOOKUP(A19,'Identificación de Riesgos'!$A$8:$Y$18,25,FALSE),"")</f>
        <v/>
      </c>
      <c r="G19" s="290" t="str">
        <f>VLOOKUP(A19,Residual!$A$4:$B$15,2,FALSE)</f>
        <v/>
      </c>
      <c r="H19" s="266"/>
      <c r="I19" s="288" t="str">
        <f>IFERROR(VLOOKUP(A19,KRI!$A$5:$N$16,2,FALSE),"")</f>
        <v/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70" t="str">
        <f>IFERROR(VLOOKUP(A19,KRI!$A$5:$N$16,12,FALSE),"")</f>
        <v/>
      </c>
      <c r="U19" s="271" t="str">
        <f>IFERROR(VLOOKUP(A19,KRI!$A$5:$N$16,13,FALSE),"")</f>
        <v/>
      </c>
      <c r="V19" s="272" t="str">
        <f>IFERROR(VLOOKUP(A19,KRI!$A$5:$N$16,14,FALSE),"")</f>
        <v/>
      </c>
      <c r="W19" s="43"/>
      <c r="X19" s="43"/>
      <c r="Y19" s="43"/>
      <c r="Z19" s="43"/>
    </row>
    <row r="20" spans="1:26" s="117" customFormat="1" ht="14.4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117" customFormat="1" ht="1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</sheetData>
  <sheetProtection algorithmName="SHA-512" hashValue="L8B6ErwRsF5dSOsGhmr+4ckbVuczcXt3d7qK8prMwdr2mrT8h5UhxEQS2YrPG6I9PBpOMO2y6iFoXOxVfTBy4Q==" saltValue="C9/CMK3SdOLCG4k07zrq5A==" spinCount="100000" sheet="1" objects="1" scenarios="1" formatCells="0" formatColumns="0" formatRows="0"/>
  <mergeCells count="7">
    <mergeCell ref="T7:V7"/>
    <mergeCell ref="A1:X4"/>
    <mergeCell ref="J6:P6"/>
    <mergeCell ref="W6:X6"/>
    <mergeCell ref="Y6:Z6"/>
    <mergeCell ref="A6:I6"/>
    <mergeCell ref="Q6:V6"/>
  </mergeCells>
  <conditionalFormatting sqref="F8:F19">
    <cfRule type="cellIs" dxfId="56" priority="1" operator="equal">
      <formula>"Bajo"</formula>
    </cfRule>
  </conditionalFormatting>
  <conditionalFormatting sqref="F8:G19">
    <cfRule type="cellIs" dxfId="55" priority="2" operator="equal">
      <formula>"Moderado"</formula>
    </cfRule>
    <cfRule type="cellIs" dxfId="54" priority="3" operator="equal">
      <formula>"Alto"</formula>
    </cfRule>
    <cfRule type="cellIs" dxfId="53" priority="4" operator="equal">
      <formula>"Extremo"</formula>
    </cfRule>
  </conditionalFormatting>
  <conditionalFormatting sqref="G8:G19">
    <cfRule type="cellIs" dxfId="52" priority="5" operator="equal">
      <formula>"Bajo"</formula>
    </cfRule>
  </conditionalFormatting>
  <conditionalFormatting sqref="H8:I19">
    <cfRule type="containsText" dxfId="51" priority="19" stopIfTrue="1" operator="containsText" text="ALTA">
      <formula>NOT(ISERROR(SEARCH("ALTA",H8)))</formula>
    </cfRule>
    <cfRule type="containsText" dxfId="50" priority="20" stopIfTrue="1" operator="containsText" text="MODERADA">
      <formula>NOT(ISERROR(SEARCH("MODERADA",H8)))</formula>
    </cfRule>
    <cfRule type="cellIs" dxfId="49" priority="21" stopIfTrue="1" operator="equal">
      <formula>"EXTREMA"</formula>
    </cfRule>
    <cfRule type="cellIs" dxfId="48" priority="22" stopIfTrue="1" operator="equal">
      <formula>"BAJA"</formula>
    </cfRule>
  </conditionalFormatting>
  <dataValidations count="4">
    <dataValidation type="date" allowBlank="1" showInputMessage="1" showErrorMessage="1" promptTitle="FECHA DE ELABORACIÓN" prompt="Digite la fecha de elaboración del mapa de riesgos." sqref="JL1:JL4 TH1:TH4 ADD1:ADD4 AMZ1:AMZ4 AWV1:AWV4 BGR1:BGR4 BQN1:BQN4 CAJ1:CAJ4 CKF1:CKF4 CUB1:CUB4 DDX1:DDX4 DNT1:DNT4 DXP1:DXP4 EHL1:EHL4 ERH1:ERH4 FBD1:FBD4 FKZ1:FKZ4 FUV1:FUV4 GER1:GER4 GON1:GON4 GYJ1:GYJ4 HIF1:HIF4 HSB1:HSB4 IBX1:IBX4 ILT1:ILT4 IVP1:IVP4 JFL1:JFL4 JPH1:JPH4 JZD1:JZD4 KIZ1:KIZ4 KSV1:KSV4 LCR1:LCR4 LMN1:LMN4 LWJ1:LWJ4 MGF1:MGF4 MQB1:MQB4 MZX1:MZX4 NJT1:NJT4 NTP1:NTP4 ODL1:ODL4 ONH1:ONH4 OXD1:OXD4 PGZ1:PGZ4 PQV1:PQV4 QAR1:QAR4 QKN1:QKN4 QUJ1:QUJ4 REF1:REF4 ROB1:ROB4 RXX1:RXX4 SHT1:SHT4 SRP1:SRP4 TBL1:TBL4 TLH1:TLH4 TVD1:TVD4 UEZ1:UEZ4 UOV1:UOV4 UYR1:UYR4 VIN1:VIN4 VSJ1:VSJ4 WCF1:WCF4 WMB1:WMB4 WVX1:WVX4" xr:uid="{5099A93C-986B-478F-B0B4-A366421455DC}">
      <formula1>39448</formula1>
      <formula2>40543</formula2>
    </dataValidation>
    <dataValidation allowBlank="1" showErrorMessage="1" sqref="B8:B19 D8:D19" xr:uid="{75879CA1-C3EA-4439-9E6F-466FA305350D}"/>
    <dataValidation type="list" allowBlank="1" showInputMessage="1" showErrorMessage="1" sqref="H8:H19" xr:uid="{1DF1B56B-351A-4F07-9A82-5327909F3A93}">
      <formula1>"SI,NO"</formula1>
    </dataValidation>
    <dataValidation type="list" allowBlank="1" showInputMessage="1" showErrorMessage="1" sqref="P8:P9" xr:uid="{15D7A0BD-BE22-4DAD-894B-7FC1F2B05FFE}">
      <formula1>"En Proceso,Vencido,Cerrado"</formula1>
    </dataValidation>
  </dataValidations>
  <pageMargins left="0.23622047244094491" right="0.70866141732283472" top="0.31496062992125984" bottom="0.74803149606299213" header="0.31496062992125984" footer="0.31496062992125984"/>
  <pageSetup scale="60" orientation="landscape" r:id="rId1"/>
  <headerFooter>
    <oddFooter>&amp;C&amp;G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2"/>
  <sheetViews>
    <sheetView showGridLines="0" zoomScaleNormal="100" zoomScaleSheetLayoutView="80" zoomScalePageLayoutView="80" workbookViewId="0">
      <selection activeCell="E8" sqref="E8:F8"/>
    </sheetView>
  </sheetViews>
  <sheetFormatPr baseColWidth="10" defaultColWidth="0" defaultRowHeight="14.4" zeroHeight="1" x14ac:dyDescent="0.3"/>
  <cols>
    <col min="1" max="1" width="2.88671875" style="17" customWidth="1"/>
    <col min="2" max="2" width="7.88671875" style="17" hidden="1" customWidth="1"/>
    <col min="3" max="3" width="2.88671875" style="17" hidden="1" customWidth="1"/>
    <col min="4" max="4" width="19.33203125" style="17" customWidth="1"/>
    <col min="5" max="5" width="21.44140625" style="17" customWidth="1"/>
    <col min="6" max="6" width="17.5546875" style="17" customWidth="1"/>
    <col min="7" max="8" width="21.44140625" style="17" customWidth="1"/>
    <col min="9" max="12" width="18.88671875" style="17" customWidth="1"/>
    <col min="13" max="13" width="21.44140625" style="17" customWidth="1"/>
    <col min="14" max="15" width="5.109375" style="17" hidden="1" customWidth="1"/>
    <col min="16" max="17" width="5" style="17" hidden="1" customWidth="1"/>
    <col min="18" max="18" width="2.88671875" style="17" customWidth="1"/>
    <col min="19" max="20" width="0" style="17" hidden="1" customWidth="1"/>
    <col min="21" max="16384" width="11.44140625" style="17" hidden="1"/>
  </cols>
  <sheetData>
    <row r="1" spans="3:79" s="90" customFormat="1" ht="18.75" customHeight="1" x14ac:dyDescent="0.3">
      <c r="C1" s="378" t="s">
        <v>326</v>
      </c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91"/>
      <c r="V1" s="92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</row>
    <row r="2" spans="3:79" s="90" customFormat="1" ht="18.75" customHeight="1" x14ac:dyDescent="0.3"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91"/>
      <c r="V2" s="92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</row>
    <row r="3" spans="3:79" s="90" customFormat="1" ht="18.75" customHeight="1" x14ac:dyDescent="0.3"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91"/>
      <c r="V3" s="92"/>
      <c r="Y3" s="94"/>
      <c r="Z3" s="94"/>
      <c r="AA3" s="94"/>
      <c r="AB3" s="94"/>
      <c r="AC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S3" s="94"/>
      <c r="BT3" s="94"/>
      <c r="BU3" s="94"/>
      <c r="BV3" s="94"/>
      <c r="BW3" s="94"/>
      <c r="BX3" s="94"/>
      <c r="BY3" s="95"/>
      <c r="BZ3" s="95"/>
      <c r="CA3" s="95"/>
    </row>
    <row r="4" spans="3:79" s="90" customFormat="1" ht="42" customHeight="1" x14ac:dyDescent="0.3"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91"/>
      <c r="V4" s="92"/>
      <c r="Y4" s="94"/>
      <c r="Z4" s="94"/>
      <c r="AA4" s="94"/>
      <c r="AB4" s="94"/>
      <c r="AC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S4" s="94"/>
      <c r="BT4" s="94"/>
      <c r="BU4" s="94"/>
      <c r="BV4" s="94"/>
      <c r="BW4" s="94"/>
      <c r="BX4" s="94"/>
      <c r="BY4" s="95"/>
      <c r="BZ4" s="95"/>
      <c r="CA4" s="95"/>
    </row>
    <row r="5" spans="3:79" ht="12" customHeight="1" x14ac:dyDescent="0.3"/>
    <row r="6" spans="3:79" ht="29.4" customHeight="1" x14ac:dyDescent="0.3">
      <c r="D6" s="387" t="s">
        <v>327</v>
      </c>
      <c r="E6" s="388"/>
      <c r="F6" s="388"/>
      <c r="G6" s="388"/>
      <c r="H6" s="388"/>
      <c r="I6" s="388"/>
      <c r="J6" s="388"/>
      <c r="K6" s="388"/>
      <c r="L6" s="388"/>
      <c r="M6" s="389"/>
      <c r="N6" s="40"/>
      <c r="O6" s="40"/>
    </row>
    <row r="7" spans="3:79" ht="9" customHeight="1" x14ac:dyDescent="0.3"/>
    <row r="8" spans="3:79" ht="25.2" customHeight="1" x14ac:dyDescent="0.3">
      <c r="D8" s="78" t="s">
        <v>328</v>
      </c>
      <c r="E8" s="394"/>
      <c r="F8" s="394"/>
    </row>
    <row r="9" spans="3:79" ht="25.2" customHeight="1" x14ac:dyDescent="0.3">
      <c r="D9" s="26" t="s">
        <v>242</v>
      </c>
      <c r="E9" s="393" t="str">
        <f>IFERROR(VLOOKUP(E8,'Identificación de Riesgos'!$A$8:$Y$19,3,FALSE),"")</f>
        <v/>
      </c>
      <c r="F9" s="393"/>
      <c r="G9" s="393"/>
      <c r="H9" s="393"/>
      <c r="I9" s="393"/>
      <c r="J9" s="26" t="s">
        <v>329</v>
      </c>
      <c r="K9" s="367" t="str">
        <f>IFERROR(VLOOKUP(E8,'Identificación de Riesgos'!$A$8:$Y$19,6,FALSE),"")</f>
        <v/>
      </c>
      <c r="L9" s="367"/>
      <c r="M9" s="367"/>
      <c r="N9" s="23"/>
      <c r="O9" s="23"/>
    </row>
    <row r="10" spans="3:79" ht="9" customHeight="1" x14ac:dyDescent="0.3">
      <c r="D10" s="24"/>
      <c r="E10" s="24"/>
      <c r="F10" s="24"/>
    </row>
    <row r="11" spans="3:79" ht="18" x14ac:dyDescent="0.35">
      <c r="D11" s="29" t="s">
        <v>257</v>
      </c>
      <c r="E11" s="26"/>
      <c r="F11" s="26"/>
    </row>
    <row r="12" spans="3:79" ht="72.599999999999994" customHeight="1" x14ac:dyDescent="0.3">
      <c r="D12" s="390" t="str">
        <f>IFERROR(VLOOKUP(E8,'Identificación de Riesgos'!$A$8:$Y$19,10,FALSE),"")</f>
        <v/>
      </c>
      <c r="E12" s="390"/>
      <c r="F12" s="390"/>
      <c r="G12" s="390"/>
      <c r="H12" s="390"/>
      <c r="I12" s="390"/>
      <c r="J12" s="390"/>
      <c r="K12" s="390"/>
      <c r="L12" s="390"/>
      <c r="M12" s="390"/>
      <c r="N12" s="28"/>
      <c r="O12" s="28"/>
    </row>
    <row r="13" spans="3:79" ht="9" customHeight="1" x14ac:dyDescent="0.3"/>
    <row r="14" spans="3:79" ht="22.95" customHeight="1" x14ac:dyDescent="0.35">
      <c r="D14" s="29" t="s">
        <v>330</v>
      </c>
    </row>
    <row r="15" spans="3:79" ht="48" customHeight="1" x14ac:dyDescent="0.35">
      <c r="D15" s="380" t="str">
        <f>IFERROR(VLOOKUP(E8,'Identificación de Riesgos'!$A$8:$Y$19,11,FALSE),"")</f>
        <v/>
      </c>
      <c r="E15" s="381"/>
      <c r="F15" s="381"/>
      <c r="G15" s="381"/>
      <c r="H15" s="381"/>
      <c r="I15" s="381"/>
      <c r="J15" s="381"/>
      <c r="K15" s="381"/>
      <c r="L15" s="381"/>
      <c r="M15" s="382"/>
      <c r="N15" s="36"/>
      <c r="O15" s="36"/>
    </row>
    <row r="16" spans="3:79" ht="9" customHeight="1" x14ac:dyDescent="0.35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6"/>
      <c r="O16" s="36"/>
    </row>
    <row r="17" spans="4:17" ht="24.6" customHeight="1" x14ac:dyDescent="0.35">
      <c r="D17" s="29" t="s">
        <v>331</v>
      </c>
      <c r="E17" s="37"/>
      <c r="F17" s="37"/>
      <c r="G17" s="37"/>
      <c r="H17" s="37"/>
      <c r="I17" s="37"/>
      <c r="J17" s="37"/>
      <c r="K17" s="37"/>
      <c r="L17" s="37"/>
      <c r="M17" s="37"/>
      <c r="N17" s="36"/>
      <c r="O17" s="36"/>
    </row>
    <row r="18" spans="4:17" ht="42.6" customHeight="1" x14ac:dyDescent="0.3">
      <c r="D18" s="380" t="str">
        <f>IFERROR(VLOOKUP($E$8,KRI!$A$5:$N$16,2,FALSE),"")</f>
        <v/>
      </c>
      <c r="E18" s="381"/>
      <c r="F18" s="381"/>
      <c r="G18" s="381"/>
      <c r="H18" s="381"/>
      <c r="I18" s="381"/>
      <c r="J18" s="381"/>
      <c r="K18" s="381"/>
      <c r="L18" s="381"/>
      <c r="M18" s="382"/>
    </row>
    <row r="19" spans="4:17" ht="12.6" customHeight="1" x14ac:dyDescent="0.3"/>
    <row r="20" spans="4:17" ht="29.4" customHeight="1" x14ac:dyDescent="0.3">
      <c r="D20" s="368" t="s">
        <v>332</v>
      </c>
      <c r="E20" s="368"/>
      <c r="F20" s="368"/>
      <c r="G20" s="368"/>
      <c r="H20" s="368"/>
      <c r="I20" s="368"/>
      <c r="J20" s="368"/>
      <c r="K20" s="368"/>
      <c r="L20" s="368"/>
      <c r="M20" s="368"/>
    </row>
    <row r="21" spans="4:17" ht="8.4" customHeight="1" x14ac:dyDescent="0.3"/>
    <row r="22" spans="4:17" ht="42.6" customHeight="1" x14ac:dyDescent="0.3">
      <c r="D22" s="375" t="s">
        <v>164</v>
      </c>
      <c r="E22" s="375"/>
      <c r="F22" s="375"/>
      <c r="G22" s="376" t="str">
        <f>IFERROR(VLOOKUP(E8,'Identificación de Riesgos'!$A$8:$Y$19,23,FALSE),"")</f>
        <v/>
      </c>
      <c r="H22" s="376"/>
      <c r="I22" s="376"/>
      <c r="J22" s="376"/>
      <c r="K22" s="376"/>
      <c r="L22" s="376"/>
      <c r="M22" s="376"/>
      <c r="N22" s="23"/>
      <c r="O22" s="41" t="str">
        <f>IFERROR(VLOOKUP(G22,Hoja2!I3:K7,3,FALSE),"")</f>
        <v/>
      </c>
      <c r="P22" s="41" t="str">
        <f>IFERROR(VLOOKUP(O22,Hoja2!G10:I19,2,FALSE),"")</f>
        <v/>
      </c>
    </row>
    <row r="23" spans="4:17" ht="8.4" customHeight="1" x14ac:dyDescent="0.3">
      <c r="G23" s="236"/>
      <c r="H23" s="236"/>
      <c r="I23" s="236"/>
      <c r="J23" s="236"/>
      <c r="K23" s="236"/>
      <c r="L23" s="236"/>
      <c r="M23" s="236"/>
    </row>
    <row r="24" spans="4:17" s="41" customFormat="1" ht="42.6" customHeight="1" x14ac:dyDescent="0.3">
      <c r="D24" s="375" t="s">
        <v>333</v>
      </c>
      <c r="E24" s="375"/>
      <c r="F24" s="375"/>
      <c r="G24" s="377" t="str">
        <f>IFERROR(VLOOKUP(E8,'Identificación de Riesgos'!$A$8:$Y$19,24,FALSE),"")</f>
        <v/>
      </c>
      <c r="H24" s="377"/>
      <c r="I24" s="377"/>
      <c r="J24" s="377"/>
      <c r="K24" s="377"/>
      <c r="L24" s="377"/>
      <c r="M24" s="377"/>
      <c r="N24" s="42"/>
      <c r="O24" s="17" t="e">
        <f>VLOOKUP(E8,'Identificación de Riesgos'!$A$8:$Y$19,22,FALSE)</f>
        <v>#N/A</v>
      </c>
      <c r="P24" s="17" t="str">
        <f>IFERROR(VLOOKUP(O24,Hoja2!G10:I19,3,FALSE),"")</f>
        <v/>
      </c>
    </row>
    <row r="25" spans="4:17" s="41" customFormat="1" ht="42.6" customHeight="1" x14ac:dyDescent="0.3">
      <c r="D25" s="375"/>
      <c r="E25" s="375"/>
      <c r="F25" s="375"/>
      <c r="G25" s="395" t="str">
        <f>IFERROR(VLOOKUP(E8,'Identificación de Riesgos'!$A$8:$Y$19,21,FALSE),"")</f>
        <v/>
      </c>
      <c r="H25" s="395"/>
      <c r="I25" s="395"/>
      <c r="J25" s="395"/>
      <c r="K25" s="395"/>
      <c r="L25" s="395"/>
      <c r="M25" s="395"/>
      <c r="N25" s="42"/>
      <c r="Q25" s="24" t="str">
        <f>CONCATENATE(P22,P24)</f>
        <v/>
      </c>
    </row>
    <row r="26" spans="4:17" s="41" customFormat="1" ht="9" customHeight="1" x14ac:dyDescent="0.3">
      <c r="N26" s="42"/>
      <c r="O26" s="42"/>
    </row>
    <row r="27" spans="4:17" ht="40.200000000000003" customHeight="1" x14ac:dyDescent="0.3">
      <c r="D27" s="392" t="str">
        <f>IFERROR(VLOOKUP(Q25,Hoja2!B10:E34,4,FALSE),"")</f>
        <v/>
      </c>
      <c r="E27" s="392"/>
      <c r="F27" s="392"/>
      <c r="G27" s="392"/>
      <c r="H27" s="392"/>
      <c r="I27" s="392"/>
      <c r="J27" s="392"/>
      <c r="K27" s="392"/>
      <c r="L27" s="392"/>
      <c r="M27" s="392"/>
      <c r="N27" s="62"/>
      <c r="O27" s="44"/>
    </row>
    <row r="28" spans="4:17" ht="9" customHeight="1" x14ac:dyDescent="0.3">
      <c r="G28" s="28"/>
      <c r="H28" s="28"/>
      <c r="I28" s="28"/>
      <c r="J28" s="28"/>
      <c r="K28" s="28"/>
      <c r="L28" s="28"/>
      <c r="M28" s="28"/>
      <c r="N28" s="28"/>
      <c r="O28" s="28"/>
    </row>
    <row r="29" spans="4:17" ht="30.6" customHeight="1" x14ac:dyDescent="0.3">
      <c r="D29" s="368" t="s">
        <v>334</v>
      </c>
      <c r="E29" s="368"/>
      <c r="F29" s="368"/>
      <c r="G29" s="368"/>
      <c r="H29" s="368"/>
      <c r="I29" s="368"/>
      <c r="J29" s="368"/>
      <c r="K29" s="368"/>
      <c r="L29" s="368"/>
      <c r="M29" s="368"/>
      <c r="N29" s="40"/>
      <c r="O29" s="40"/>
    </row>
    <row r="30" spans="4:17" ht="9" customHeight="1" x14ac:dyDescent="0.3"/>
    <row r="31" spans="4:17" ht="25.95" customHeight="1" x14ac:dyDescent="0.3">
      <c r="D31" s="383" t="s">
        <v>335</v>
      </c>
      <c r="E31" s="383"/>
      <c r="F31" s="383"/>
      <c r="G31" s="383"/>
      <c r="H31" s="383"/>
      <c r="I31" s="383"/>
      <c r="J31" s="383"/>
      <c r="K31" s="383"/>
      <c r="L31" s="383"/>
      <c r="M31" s="383"/>
    </row>
    <row r="32" spans="4:17" ht="9" customHeight="1" x14ac:dyDescent="0.3"/>
    <row r="33" spans="2:17" ht="17.399999999999999" customHeight="1" x14ac:dyDescent="0.3">
      <c r="D33" s="369" t="s">
        <v>336</v>
      </c>
      <c r="E33" s="369"/>
      <c r="F33" s="369"/>
      <c r="G33" s="379" t="s">
        <v>263</v>
      </c>
      <c r="H33" s="379"/>
      <c r="I33" s="384" t="s">
        <v>264</v>
      </c>
      <c r="J33" s="385"/>
      <c r="K33" s="385"/>
      <c r="L33" s="386"/>
      <c r="M33" s="391" t="s">
        <v>337</v>
      </c>
      <c r="N33" s="51"/>
      <c r="O33" s="51"/>
      <c r="P33" s="17">
        <f>IFERROR(IF(P42="",0,IF(P42&lt;=0.2,5,IF(AND(P42&gt;0.2,P42&lt;=0.4),4,IF(AND(P42&gt;0.4,P42&lt;=0.6),3,IF(AND(P42&gt;0.6,P42&lt;=0.8),2,1))))),"")</f>
        <v>0</v>
      </c>
      <c r="Q33" s="17" t="str">
        <f>IFERROR(IF(Q42="",0,IF(Q42&lt;=0.2,1,IF(AND(Q42&gt;0.2,Q42&lt;=0.4),2,IF(AND(Q42&gt;0.4,Q42&lt;=0.6),3,IF(AND(Q42&gt;0.6,Q42&lt;=0.8),4,5))))),"")</f>
        <v/>
      </c>
    </row>
    <row r="34" spans="2:17" ht="17.399999999999999" customHeight="1" x14ac:dyDescent="0.3">
      <c r="D34" s="369"/>
      <c r="E34" s="369"/>
      <c r="F34" s="369"/>
      <c r="G34" s="46" t="s">
        <v>274</v>
      </c>
      <c r="H34" s="46" t="s">
        <v>338</v>
      </c>
      <c r="I34" s="46" t="s">
        <v>339</v>
      </c>
      <c r="J34" s="46" t="s">
        <v>163</v>
      </c>
      <c r="K34" s="46" t="s">
        <v>162</v>
      </c>
      <c r="L34" s="46" t="s">
        <v>158</v>
      </c>
      <c r="M34" s="391"/>
      <c r="N34" s="51"/>
      <c r="O34" s="51"/>
      <c r="P34" s="50" t="str">
        <f>CONCATENATE(P33,Q33)</f>
        <v>0</v>
      </c>
      <c r="Q34" s="50"/>
    </row>
    <row r="35" spans="2:17" ht="30.6" customHeight="1" x14ac:dyDescent="0.3">
      <c r="B35" s="17" t="str">
        <f>_xlfn.CONCAT($E$8,C35)</f>
        <v>1</v>
      </c>
      <c r="C35" s="41">
        <v>1</v>
      </c>
      <c r="D35" s="372" t="str">
        <f>IFERROR(VLOOKUP(B35,Controles!$B$8:$N$37,7,FALSE),"")</f>
        <v/>
      </c>
      <c r="E35" s="372"/>
      <c r="F35" s="372"/>
      <c r="G35" s="229" t="str">
        <f>IFERROR(IF(VLOOKUP(B35,Controles!$B$8:$N$37,8,FALSE)=0,"",VLOOKUP(B35,Controles!$B$8:$N$37,8,FALSE)),"")</f>
        <v/>
      </c>
      <c r="H35" s="229" t="str">
        <f>IFERROR(IF(VLOOKUP(B35,Controles!$B$8:$N$37,9,FALSE)=0,"",VLOOKUP(B35,Controles!$B$8:$N$37,9,FALSE)),"")</f>
        <v/>
      </c>
      <c r="I35" s="229" t="str">
        <f>IFERROR(IF(VLOOKUP(B35,Controles!$B$8:$N$37,10,FALSE)=0,"",VLOOKUP(B35,Controles!$B$8:$N$37,10,FALSE)),"")</f>
        <v/>
      </c>
      <c r="J35" s="229" t="str">
        <f>IFERROR(IF(VLOOKUP(B35,Controles!$B$8:$N$37,11,FALSE)=0,"",VLOOKUP(B35,Controles!$B$8:$N$37,11,FALSE)),"")</f>
        <v/>
      </c>
      <c r="K35" s="229" t="str">
        <f>IFERROR(IF(VLOOKUP(B35,Controles!$B$8:$N$37,12,FALSE)=0,"",VLOOKUP(B35,Controles!$B$8:$N$37,12,FALSE)),"")</f>
        <v/>
      </c>
      <c r="L35" s="229" t="str">
        <f>IFERROR(IF(VLOOKUP(B35,Controles!$B$8:$N$37,13,FALSE)=0,"",VLOOKUP(B35,Controles!$B$8:$N$37,13,FALSE)),"")</f>
        <v/>
      </c>
      <c r="M35" s="230" t="str">
        <f>IFERROR(N35+O35,"")</f>
        <v/>
      </c>
      <c r="N35" s="79" t="str">
        <f>IF(G35="Preventivo",0.25,IF(G35="Detectivo",0.15,IF(G35="Correctivo",0.1,"")))</f>
        <v/>
      </c>
      <c r="O35" s="79" t="str">
        <f>IF(H35="Automático",0.25,IF(H35="Manual",0.15,""))</f>
        <v/>
      </c>
      <c r="P35" s="50" t="str">
        <f>IFERROR(IF(OR(G35="Detectivo",G35="Preventivo"),O22-(O22*M35),O22),O22)</f>
        <v/>
      </c>
      <c r="Q35" s="50" t="e">
        <f>IFERROR(IF(G35="Correctivo",O24-(O24*M35),O24),O24)</f>
        <v>#N/A</v>
      </c>
    </row>
    <row r="36" spans="2:17" ht="30.6" customHeight="1" x14ac:dyDescent="0.3">
      <c r="B36" s="17" t="str">
        <f t="shared" ref="B36:B42" si="0">_xlfn.CONCAT($E$8,C36)</f>
        <v>2</v>
      </c>
      <c r="C36" s="41">
        <v>2</v>
      </c>
      <c r="D36" s="372" t="str">
        <f>IFERROR(VLOOKUP(B36,Controles!$B$8:$N$37,7,FALSE),"")</f>
        <v/>
      </c>
      <c r="E36" s="372"/>
      <c r="F36" s="372"/>
      <c r="G36" s="229" t="str">
        <f>IFERROR(IF(VLOOKUP(B36,Controles!$B$8:$N$37,8,FALSE)=0,"",VLOOKUP(B36,Controles!$B$8:$N$37,8,FALSE)),"")</f>
        <v/>
      </c>
      <c r="H36" s="229" t="str">
        <f>IFERROR(IF(VLOOKUP(B36,Controles!$B$8:$N$37,9,FALSE)=0,"",VLOOKUP(B36,Controles!$B$8:$N$37,9,FALSE)),"")</f>
        <v/>
      </c>
      <c r="I36" s="229" t="str">
        <f>IFERROR(IF(VLOOKUP(B36,Controles!$B$8:$N$37,10,FALSE)=0,"",VLOOKUP(B36,Controles!$B$8:$N$37,10,FALSE)),"")</f>
        <v/>
      </c>
      <c r="J36" s="229" t="str">
        <f>IFERROR(IF(VLOOKUP(B36,Controles!$B$8:$N$37,8,FALSE)=0,"",VLOOKUP(B36,Controles!$B$8:$N$37,11,FALSE)),"")</f>
        <v/>
      </c>
      <c r="K36" s="229" t="str">
        <f>IFERROR(IF(VLOOKUP(B36,Controles!$B$8:$N$37,12,FALSE)=0,"",VLOOKUP(B36,Controles!$B$8:$N$37,12,FALSE)),"")</f>
        <v/>
      </c>
      <c r="L36" s="229" t="str">
        <f>IFERROR(IF(VLOOKUP(B36,Controles!$B$8:$N$37,13,FALSE)=0,"",VLOOKUP(B36,Controles!$B$8:$N$37,13,FALSE)),"")</f>
        <v/>
      </c>
      <c r="M36" s="230" t="str">
        <f>IFERROR(N36+O36,"")</f>
        <v/>
      </c>
      <c r="N36" s="79" t="str">
        <f t="shared" ref="N36:N42" si="1">IF(G36="Preventivo",0.25,IF(G36="Detectivo",0.15,IF(G36="Correctivo",0.1,"")))</f>
        <v/>
      </c>
      <c r="O36" s="79" t="str">
        <f>IF(H36="Automático",0.25,IF(H36="Manual",0.15,""))</f>
        <v/>
      </c>
      <c r="P36" s="50" t="str">
        <f>IFERROR(IF(OR(G36="Detectivo",G36="Preventivo"),P35-(P35*M36),P35),P35)</f>
        <v/>
      </c>
      <c r="Q36" s="50" t="e">
        <f t="shared" ref="Q36:Q41" si="2">IFERROR(IF(G36="Correctivo",Q35-(Q35*M36),Q35),Q35)</f>
        <v>#N/A</v>
      </c>
    </row>
    <row r="37" spans="2:17" ht="30" customHeight="1" x14ac:dyDescent="0.3">
      <c r="B37" s="17" t="str">
        <f t="shared" si="0"/>
        <v>3</v>
      </c>
      <c r="C37" s="41">
        <v>3</v>
      </c>
      <c r="D37" s="372" t="str">
        <f>IFERROR(VLOOKUP(B37,Controles!$B$8:$N$37,7,FALSE),"")</f>
        <v/>
      </c>
      <c r="E37" s="372"/>
      <c r="F37" s="372"/>
      <c r="G37" s="229" t="str">
        <f>IFERROR(IF(VLOOKUP(B37,Controles!$B$8:$N$37,8,FALSE)=0,"",VLOOKUP(B37,Controles!$B$8:$N$37,8,FALSE)),"")</f>
        <v/>
      </c>
      <c r="H37" s="229" t="str">
        <f>IFERROR(IF(VLOOKUP(B37,Controles!$B$8:$N$37,9,FALSE)=0,"",VLOOKUP(B37,Controles!$B$8:$N$37,9,FALSE)),"")</f>
        <v/>
      </c>
      <c r="I37" s="229" t="str">
        <f>IFERROR(IF(VLOOKUP(B37,Controles!$B$8:$N$37,10,FALSE)=0,"",VLOOKUP(B37,Controles!$B$8:$N$37,10,FALSE)),"")</f>
        <v/>
      </c>
      <c r="J37" s="229" t="str">
        <f>IFERROR(IF(VLOOKUP(B37,Controles!$B$8:$N$37,8,FALSE)=0,"",VLOOKUP(B37,Controles!$B$8:$N$37,11,FALSE)),"")</f>
        <v/>
      </c>
      <c r="K37" s="229" t="str">
        <f>IFERROR(IF(VLOOKUP(B37,Controles!$B$8:$N$37,12,FALSE)=0,"",VLOOKUP(B37,Controles!$B$8:$N$37,12,FALSE)),"")</f>
        <v/>
      </c>
      <c r="L37" s="229" t="str">
        <f>IFERROR(IF(VLOOKUP(B37,Controles!$B$8:$N$37,13,FALSE)=0,"",VLOOKUP(B37,Controles!$B$8:$N$37,13,FALSE)),"")</f>
        <v/>
      </c>
      <c r="M37" s="230" t="str">
        <f t="shared" ref="M37:M42" si="3">IFERROR(N37+O37,"")</f>
        <v/>
      </c>
      <c r="N37" s="79" t="str">
        <f t="shared" si="1"/>
        <v/>
      </c>
      <c r="O37" s="79" t="str">
        <f t="shared" ref="O37:O42" si="4">IF(H37="Automático",0.25,IF(H37="Manual",0.15,""))</f>
        <v/>
      </c>
      <c r="P37" s="50" t="str">
        <f>IFERROR(IF(OR(G37="Detectivo",G37="Preventivo"),P36-(P36*M37),P36),P36)</f>
        <v/>
      </c>
      <c r="Q37" s="50" t="e">
        <f t="shared" si="2"/>
        <v>#N/A</v>
      </c>
    </row>
    <row r="38" spans="2:17" ht="30" customHeight="1" x14ac:dyDescent="0.3">
      <c r="B38" s="17" t="str">
        <f t="shared" si="0"/>
        <v>4</v>
      </c>
      <c r="C38" s="41">
        <v>4</v>
      </c>
      <c r="D38" s="372" t="str">
        <f>IFERROR(VLOOKUP(B38,Controles!$B$8:$N$37,7,FALSE),"")</f>
        <v/>
      </c>
      <c r="E38" s="372"/>
      <c r="F38" s="372"/>
      <c r="G38" s="229" t="str">
        <f>IFERROR(IF(VLOOKUP(B38,Controles!$B$8:$N$37,8,FALSE)=0,"",VLOOKUP(B38,Controles!$B$8:$N$37,8,FALSE)),"")</f>
        <v/>
      </c>
      <c r="H38" s="229" t="str">
        <f>IFERROR(IF(VLOOKUP(B38,Controles!$B$8:$N$37,9,FALSE)=0,"",VLOOKUP(B38,Controles!$B$8:$N$37,9,FALSE)),"")</f>
        <v/>
      </c>
      <c r="I38" s="229" t="str">
        <f>IFERROR(IF(VLOOKUP(B38,Controles!$B$8:$N$37,10,FALSE)=0,"",VLOOKUP(B38,Controles!$B$8:$N$37,10,FALSE)),"")</f>
        <v/>
      </c>
      <c r="J38" s="229" t="str">
        <f>IFERROR(IF(VLOOKUP(B38,Controles!$B$8:$N$37,8,FALSE)=0,"",VLOOKUP(B38,Controles!$B$8:$N$37,11,FALSE)),"")</f>
        <v/>
      </c>
      <c r="K38" s="229" t="str">
        <f>IFERROR(IF(VLOOKUP(B38,Controles!$B$8:$N$37,12,FALSE)=0,"",VLOOKUP(B38,Controles!$B$8:$N$37,12,FALSE)),"")</f>
        <v/>
      </c>
      <c r="L38" s="229" t="str">
        <f>IFERROR(IF(VLOOKUP(B38,Controles!$B$8:$N$37,13,FALSE)=0,"",VLOOKUP(B38,Controles!$B$8:$N$37,13,FALSE)),"")</f>
        <v/>
      </c>
      <c r="M38" s="230" t="str">
        <f t="shared" si="3"/>
        <v/>
      </c>
      <c r="N38" s="79" t="str">
        <f t="shared" si="1"/>
        <v/>
      </c>
      <c r="O38" s="79" t="str">
        <f t="shared" si="4"/>
        <v/>
      </c>
      <c r="P38" s="50" t="str">
        <f t="shared" ref="P38:P41" si="5">IFERROR(IF(OR(G38="Detectivo",G38="Preventivo"),P37-(P37*M38),P37),P37)</f>
        <v/>
      </c>
      <c r="Q38" s="50" t="e">
        <f t="shared" si="2"/>
        <v>#N/A</v>
      </c>
    </row>
    <row r="39" spans="2:17" ht="30" customHeight="1" x14ac:dyDescent="0.3">
      <c r="B39" s="17" t="str">
        <f t="shared" si="0"/>
        <v>5</v>
      </c>
      <c r="C39" s="41">
        <v>5</v>
      </c>
      <c r="D39" s="372" t="str">
        <f>IFERROR(VLOOKUP(B39,Controles!$B$8:$N$37,7,FALSE),"")</f>
        <v/>
      </c>
      <c r="E39" s="372"/>
      <c r="F39" s="372"/>
      <c r="G39" s="229" t="str">
        <f>IFERROR(IF(VLOOKUP(B39,Controles!$B$8:$N$37,8,FALSE)=0,"",VLOOKUP(B39,Controles!$B$8:$N$37,8,FALSE)),"")</f>
        <v/>
      </c>
      <c r="H39" s="229" t="str">
        <f>IFERROR(IF(VLOOKUP(B39,Controles!$B$8:$N$37,9,FALSE)=0,"",VLOOKUP(B39,Controles!$B$8:$N$37,9,FALSE)),"")</f>
        <v/>
      </c>
      <c r="I39" s="229" t="str">
        <f>IFERROR(IF(VLOOKUP(B39,Controles!$B$8:$N$37,10,FALSE)=0,"",VLOOKUP(B39,Controles!$B$8:$N$37,10,FALSE)),"")</f>
        <v/>
      </c>
      <c r="J39" s="229" t="str">
        <f>IFERROR(IF(VLOOKUP(B39,Controles!$B$8:$N$37,8,FALSE)=0,"",VLOOKUP(B39,Controles!$B$8:$N$37,11,FALSE)),"")</f>
        <v/>
      </c>
      <c r="K39" s="229" t="str">
        <f>IFERROR(IF(VLOOKUP(B39,Controles!$B$8:$N$37,12,FALSE)=0,"",VLOOKUP(B39,Controles!$B$8:$N$37,12,FALSE)),"")</f>
        <v/>
      </c>
      <c r="L39" s="229" t="str">
        <f>IFERROR(IF(VLOOKUP(B39,Controles!$B$8:$N$37,13,FALSE)=0,"",VLOOKUP(B39,Controles!$B$8:$N$37,13,FALSE)),"")</f>
        <v/>
      </c>
      <c r="M39" s="230" t="str">
        <f t="shared" si="3"/>
        <v/>
      </c>
      <c r="N39" s="79" t="str">
        <f t="shared" si="1"/>
        <v/>
      </c>
      <c r="O39" s="79" t="str">
        <f t="shared" si="4"/>
        <v/>
      </c>
      <c r="P39" s="50" t="str">
        <f t="shared" si="5"/>
        <v/>
      </c>
      <c r="Q39" s="50" t="e">
        <f t="shared" si="2"/>
        <v>#N/A</v>
      </c>
    </row>
    <row r="40" spans="2:17" ht="30" customHeight="1" x14ac:dyDescent="0.3">
      <c r="B40" s="17" t="str">
        <f t="shared" si="0"/>
        <v>6</v>
      </c>
      <c r="C40" s="41">
        <v>6</v>
      </c>
      <c r="D40" s="372" t="str">
        <f>IFERROR(VLOOKUP(B40,Controles!$B$8:$N$37,7,FALSE),"")</f>
        <v/>
      </c>
      <c r="E40" s="372"/>
      <c r="F40" s="372"/>
      <c r="G40" s="229" t="str">
        <f>IFERROR(IF(VLOOKUP(B40,Controles!$B$8:$N$37,8,FALSE)=0,"",VLOOKUP(B40,Controles!$B$8:$N$37,8,FALSE)),"")</f>
        <v/>
      </c>
      <c r="H40" s="229" t="str">
        <f>IFERROR(IF(VLOOKUP(B40,Controles!$B$8:$N$37,9,FALSE)=0,"",VLOOKUP(B40,Controles!$B$8:$N$37,9,FALSE)),"")</f>
        <v/>
      </c>
      <c r="I40" s="229" t="str">
        <f>IFERROR(IF(VLOOKUP(B40,Controles!$B$8:$N$37,10,FALSE)=0,"",VLOOKUP(B40,Controles!$B$8:$N$37,10,FALSE)),"")</f>
        <v/>
      </c>
      <c r="J40" s="229" t="str">
        <f>IFERROR(IF(VLOOKUP(B40,Controles!$B$8:$N$37,8,FALSE)=0,"",VLOOKUP(B40,Controles!$B$8:$N$37,11,FALSE)),"")</f>
        <v/>
      </c>
      <c r="K40" s="229" t="str">
        <f>IFERROR(IF(VLOOKUP(B40,Controles!$B$8:$N$37,12,FALSE)=0,"",VLOOKUP(B40,Controles!$B$8:$N$37,12,FALSE)),"")</f>
        <v/>
      </c>
      <c r="L40" s="229" t="str">
        <f>IFERROR(IF(VLOOKUP(B40,Controles!$B$8:$N$37,13,FALSE)=0,"",VLOOKUP(B40,Controles!$B$8:$N$37,13,FALSE)),"")</f>
        <v/>
      </c>
      <c r="M40" s="230" t="str">
        <f t="shared" si="3"/>
        <v/>
      </c>
      <c r="N40" s="79" t="str">
        <f t="shared" si="1"/>
        <v/>
      </c>
      <c r="O40" s="79" t="str">
        <f t="shared" si="4"/>
        <v/>
      </c>
      <c r="P40" s="50" t="str">
        <f t="shared" si="5"/>
        <v/>
      </c>
      <c r="Q40" s="50" t="e">
        <f t="shared" si="2"/>
        <v>#N/A</v>
      </c>
    </row>
    <row r="41" spans="2:17" ht="30" customHeight="1" x14ac:dyDescent="0.3">
      <c r="B41" s="17" t="str">
        <f t="shared" si="0"/>
        <v>7</v>
      </c>
      <c r="C41" s="41">
        <v>7</v>
      </c>
      <c r="D41" s="372" t="str">
        <f>IFERROR(VLOOKUP(B41,Controles!$B$8:$N$37,7,FALSE),"")</f>
        <v/>
      </c>
      <c r="E41" s="372"/>
      <c r="F41" s="372"/>
      <c r="G41" s="229" t="str">
        <f>IFERROR(IF(VLOOKUP(B41,Controles!$B$8:$N$37,8,FALSE)=0,"",VLOOKUP(B41,Controles!$B$8:$N$37,8,FALSE)),"")</f>
        <v/>
      </c>
      <c r="H41" s="229" t="str">
        <f>IFERROR(IF(VLOOKUP(B41,Controles!$B$8:$N$37,9,FALSE)=0,"",VLOOKUP(B41,Controles!$B$8:$N$37,9,FALSE)),"")</f>
        <v/>
      </c>
      <c r="I41" s="229" t="str">
        <f>IFERROR(IF(VLOOKUP(B41,Controles!$B$8:$N$37,10,FALSE)=0,"",VLOOKUP(B41,Controles!$B$8:$N$37,10,FALSE)),"")</f>
        <v/>
      </c>
      <c r="J41" s="229" t="str">
        <f>IFERROR(IF(VLOOKUP(B41,Controles!$B$8:$N$37,8,FALSE)=0,"",VLOOKUP(B41,Controles!$B$8:$N$37,11,FALSE)),"")</f>
        <v/>
      </c>
      <c r="K41" s="229" t="str">
        <f>IFERROR(IF(VLOOKUP(B41,Controles!$B$8:$N$37,12,FALSE)=0,"",VLOOKUP(B41,Controles!$B$8:$N$37,12,FALSE)),"")</f>
        <v/>
      </c>
      <c r="L41" s="229" t="str">
        <f>IFERROR(IF(VLOOKUP(B41,Controles!$B$8:$N$37,13,FALSE)=0,"",VLOOKUP(B41,Controles!$B$8:$N$37,13,FALSE)),"")</f>
        <v/>
      </c>
      <c r="M41" s="230" t="str">
        <f t="shared" si="3"/>
        <v/>
      </c>
      <c r="N41" s="79" t="str">
        <f t="shared" si="1"/>
        <v/>
      </c>
      <c r="O41" s="79" t="str">
        <f t="shared" si="4"/>
        <v/>
      </c>
      <c r="P41" s="50" t="str">
        <f t="shared" si="5"/>
        <v/>
      </c>
      <c r="Q41" s="50" t="e">
        <f t="shared" si="2"/>
        <v>#N/A</v>
      </c>
    </row>
    <row r="42" spans="2:17" ht="30" customHeight="1" x14ac:dyDescent="0.3">
      <c r="B42" s="17" t="str">
        <f t="shared" si="0"/>
        <v>8</v>
      </c>
      <c r="C42" s="41">
        <v>8</v>
      </c>
      <c r="D42" s="372" t="str">
        <f>IFERROR(VLOOKUP(B42,Controles!$B$8:$N$37,7,FALSE),"")</f>
        <v/>
      </c>
      <c r="E42" s="372"/>
      <c r="F42" s="372"/>
      <c r="G42" s="229" t="str">
        <f>IFERROR(IF(VLOOKUP(B42,Controles!$B$8:$N$37,8,FALSE)=0,"",VLOOKUP(B42,Controles!$B$8:$N$37,8,FALSE)),"")</f>
        <v/>
      </c>
      <c r="H42" s="229" t="str">
        <f>IFERROR(IF(VLOOKUP(B42,Controles!$B$8:$N$37,9,FALSE)=0,"",VLOOKUP(B42,Controles!$B$8:$N$37,9,FALSE)),"")</f>
        <v/>
      </c>
      <c r="I42" s="229" t="str">
        <f>IFERROR(IF(VLOOKUP(B42,Controles!$B$8:$N$37,10,FALSE)=0,"",VLOOKUP(B42,Controles!$B$8:$N$37,10,FALSE)),"")</f>
        <v/>
      </c>
      <c r="J42" s="229" t="str">
        <f>IFERROR(IF(VLOOKUP(B42,Controles!$B$8:$N$37,8,FALSE)=0,"",VLOOKUP(B42,Controles!$B$8:$N$37,11,FALSE)),"")</f>
        <v/>
      </c>
      <c r="K42" s="229" t="str">
        <f>IFERROR(IF(VLOOKUP(B42,Controles!$B$8:$N$37,12,FALSE)=0,"",VLOOKUP(B42,Controles!$B$8:$N$37,12,FALSE)),"")</f>
        <v/>
      </c>
      <c r="L42" s="229" t="str">
        <f>IFERROR(IF(VLOOKUP(B42,Controles!$B$8:$N$37,13,FALSE)=0,"",VLOOKUP(B42,Controles!$B$8:$N$37,13,FALSE)),"")</f>
        <v/>
      </c>
      <c r="M42" s="230" t="str">
        <f t="shared" si="3"/>
        <v/>
      </c>
      <c r="N42" s="79" t="str">
        <f t="shared" si="1"/>
        <v/>
      </c>
      <c r="O42" s="79" t="str">
        <f t="shared" si="4"/>
        <v/>
      </c>
      <c r="P42" s="50" t="str">
        <f>IFERROR(IF(OR(G42="Detectivo",G42="Preventivo"),P41-(P41*M42),P41),P41)</f>
        <v/>
      </c>
      <c r="Q42" s="50" t="e">
        <f>IFERROR(IF(G42="Correctivo",Q41-(Q41*M42),Q41),Q41)</f>
        <v>#N/A</v>
      </c>
    </row>
    <row r="43" spans="2:17" ht="9" customHeight="1" x14ac:dyDescent="0.3">
      <c r="D43" s="145"/>
      <c r="E43" s="145"/>
      <c r="F43" s="145"/>
      <c r="G43" s="41"/>
      <c r="H43" s="41"/>
      <c r="I43" s="41"/>
      <c r="J43" s="41"/>
      <c r="K43" s="41"/>
      <c r="L43" s="41"/>
      <c r="M43" s="146"/>
      <c r="N43" s="147"/>
      <c r="O43" s="147"/>
      <c r="P43" s="50"/>
      <c r="Q43" s="50"/>
    </row>
    <row r="44" spans="2:17" ht="23.4" customHeight="1" x14ac:dyDescent="0.3">
      <c r="D44" s="383" t="s">
        <v>340</v>
      </c>
      <c r="E44" s="383"/>
      <c r="F44" s="383"/>
      <c r="G44" s="383"/>
      <c r="H44" s="383"/>
      <c r="I44" s="383"/>
      <c r="J44" s="383"/>
      <c r="K44" s="383"/>
      <c r="L44" s="383"/>
      <c r="M44" s="383"/>
      <c r="N44" s="147"/>
      <c r="O44" s="147"/>
      <c r="P44" s="50"/>
      <c r="Q44" s="50"/>
    </row>
    <row r="45" spans="2:17" s="148" customFormat="1" ht="9" customHeight="1" x14ac:dyDescent="0.3"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150"/>
      <c r="O45" s="150"/>
      <c r="P45" s="151"/>
      <c r="Q45" s="151"/>
    </row>
    <row r="46" spans="2:17" s="148" customFormat="1" ht="24.6" customHeight="1" x14ac:dyDescent="0.3">
      <c r="D46" s="375" t="s">
        <v>164</v>
      </c>
      <c r="E46" s="375"/>
      <c r="F46" s="375"/>
      <c r="G46" s="376" t="str">
        <f>IFERROR(VLOOKUP($P$33,Hoja2!$F$3:$K$7,4,FALSE),"")</f>
        <v/>
      </c>
      <c r="H46" s="376"/>
      <c r="I46" s="376"/>
      <c r="J46" s="376"/>
      <c r="K46" s="376"/>
      <c r="L46" s="376"/>
      <c r="M46" s="376"/>
      <c r="N46" s="150"/>
      <c r="O46" s="150"/>
      <c r="P46" s="151"/>
      <c r="Q46" s="151"/>
    </row>
    <row r="47" spans="2:17" s="148" customFormat="1" ht="9" customHeight="1" x14ac:dyDescent="0.3">
      <c r="D47" s="17"/>
      <c r="E47" s="17"/>
      <c r="F47" s="17"/>
      <c r="G47" s="231"/>
      <c r="H47" s="231"/>
      <c r="I47" s="231"/>
      <c r="J47" s="231"/>
      <c r="K47" s="231"/>
      <c r="L47" s="231"/>
      <c r="M47" s="231"/>
      <c r="N47" s="150"/>
      <c r="O47" s="150"/>
      <c r="P47" s="151"/>
      <c r="Q47" s="151"/>
    </row>
    <row r="48" spans="2:17" s="148" customFormat="1" ht="24.6" customHeight="1" x14ac:dyDescent="0.3">
      <c r="D48" s="375" t="s">
        <v>333</v>
      </c>
      <c r="E48" s="375"/>
      <c r="F48" s="375"/>
      <c r="G48" s="377" t="str">
        <f>IFERROR(VLOOKUP($Q$33,Hoja2!$A$3:$D$7,4,),"")</f>
        <v/>
      </c>
      <c r="H48" s="377"/>
      <c r="I48" s="377"/>
      <c r="J48" s="377"/>
      <c r="K48" s="377"/>
      <c r="L48" s="377"/>
      <c r="M48" s="377"/>
      <c r="N48" s="150"/>
      <c r="O48" s="150"/>
      <c r="P48" s="151"/>
      <c r="Q48" s="151"/>
    </row>
    <row r="49" spans="4:17" ht="9" customHeight="1" x14ac:dyDescent="0.3">
      <c r="D49" s="21"/>
      <c r="E49" s="21"/>
      <c r="F49" s="21"/>
    </row>
    <row r="50" spans="4:17" ht="30" customHeight="1" x14ac:dyDescent="0.3">
      <c r="D50" s="392" t="str">
        <f>IFERROR(VLOOKUP(P34,Hoja2!B10:E34,4,FALSE),"")</f>
        <v/>
      </c>
      <c r="E50" s="392"/>
      <c r="F50" s="392"/>
      <c r="G50" s="392"/>
      <c r="H50" s="392"/>
      <c r="I50" s="392"/>
      <c r="J50" s="392"/>
      <c r="K50" s="392"/>
      <c r="L50" s="392"/>
      <c r="M50" s="392"/>
    </row>
    <row r="52" spans="4:17" hidden="1" x14ac:dyDescent="0.3">
      <c r="D52" s="397" t="s">
        <v>341</v>
      </c>
      <c r="E52" s="397"/>
      <c r="F52" s="397"/>
      <c r="G52" s="397"/>
      <c r="H52" s="397"/>
      <c r="I52" s="397"/>
      <c r="J52" s="397"/>
      <c r="K52" s="397"/>
      <c r="L52" s="397"/>
      <c r="M52" s="397"/>
    </row>
    <row r="53" spans="4:17" s="148" customFormat="1" ht="18.600000000000001" customHeight="1" x14ac:dyDescent="0.3">
      <c r="F53" s="152" t="s">
        <v>342</v>
      </c>
      <c r="G53" s="149"/>
      <c r="H53" s="149"/>
      <c r="I53" s="149"/>
      <c r="J53" s="149"/>
      <c r="K53" s="149"/>
      <c r="L53" s="149"/>
      <c r="M53" s="149"/>
      <c r="N53" s="150"/>
      <c r="O53" s="150"/>
      <c r="P53" s="151"/>
      <c r="Q53" s="151"/>
    </row>
    <row r="54" spans="4:17" s="148" customFormat="1" ht="23.4" customHeight="1" x14ac:dyDescent="0.3">
      <c r="D54" s="374" t="s">
        <v>343</v>
      </c>
      <c r="E54" s="374"/>
      <c r="F54" s="374"/>
      <c r="G54" s="374"/>
      <c r="H54" s="374"/>
      <c r="I54" s="374"/>
      <c r="J54" s="373">
        <f>IFERROR(VLOOKUP(E8,'Matriz Consolidada incluir'!$A$8:$I$19,8,FALSE),"")</f>
        <v>0</v>
      </c>
      <c r="K54" s="373"/>
      <c r="L54" s="373"/>
      <c r="M54" s="373"/>
      <c r="N54" s="150"/>
      <c r="O54" s="150"/>
      <c r="P54" s="151"/>
      <c r="Q54" s="151"/>
    </row>
    <row r="55" spans="4:17" x14ac:dyDescent="0.3"/>
    <row r="56" spans="4:17" ht="21" x14ac:dyDescent="0.3">
      <c r="D56" s="368" t="s">
        <v>344</v>
      </c>
      <c r="E56" s="368"/>
      <c r="F56" s="368"/>
      <c r="G56" s="368"/>
      <c r="H56" s="368"/>
      <c r="I56" s="368"/>
      <c r="J56" s="368"/>
      <c r="K56" s="368"/>
      <c r="L56" s="368"/>
      <c r="M56" s="368"/>
      <c r="N56" s="40"/>
      <c r="O56" s="40"/>
    </row>
    <row r="57" spans="4:17" x14ac:dyDescent="0.3"/>
    <row r="58" spans="4:17" ht="23.4" x14ac:dyDescent="0.3">
      <c r="D58" s="24"/>
      <c r="E58" s="24"/>
      <c r="F58" s="371" t="s">
        <v>345</v>
      </c>
      <c r="G58" s="371"/>
      <c r="H58" s="371"/>
      <c r="I58" s="371"/>
      <c r="J58" s="371"/>
    </row>
    <row r="59" spans="4:17" ht="18" x14ac:dyDescent="0.3">
      <c r="D59" s="24"/>
      <c r="E59" s="24"/>
      <c r="F59" s="39" t="s">
        <v>33</v>
      </c>
      <c r="G59" s="39" t="s">
        <v>36</v>
      </c>
      <c r="H59" s="39" t="s">
        <v>39</v>
      </c>
      <c r="I59" s="39" t="s">
        <v>346</v>
      </c>
      <c r="J59" s="39" t="s">
        <v>45</v>
      </c>
    </row>
    <row r="60" spans="4:17" ht="5.25" customHeight="1" x14ac:dyDescent="0.3">
      <c r="D60" s="24"/>
      <c r="E60" s="24"/>
      <c r="F60" s="39"/>
      <c r="G60" s="39"/>
      <c r="H60" s="39"/>
      <c r="I60" s="39"/>
      <c r="J60" s="39"/>
    </row>
    <row r="61" spans="4:17" ht="37.5" customHeight="1" x14ac:dyDescent="0.3">
      <c r="D61" s="370" t="s">
        <v>17</v>
      </c>
      <c r="E61" s="39" t="s">
        <v>28</v>
      </c>
      <c r="F61" s="232" t="str">
        <f>CONCATENATE(IF($Q$25="11","Inherente","")," ",IF($P$34="11","Residual",""))</f>
        <v xml:space="preserve"> </v>
      </c>
      <c r="G61" s="232" t="str">
        <f>CONCATENATE(IF($Q$25="12","Inherente","")," ",IF($P$34="12","Residual",""))</f>
        <v xml:space="preserve"> </v>
      </c>
      <c r="H61" s="232" t="str">
        <f>CONCATENATE(IF($Q$25="13","Inherente","")," ",IF($P$34="13","Residual",""))</f>
        <v xml:space="preserve"> </v>
      </c>
      <c r="I61" s="232" t="str">
        <f>CONCATENATE(IF($Q$25="14","Inherente","")," ",IF($P$34="14","Residual",""))</f>
        <v xml:space="preserve"> </v>
      </c>
      <c r="J61" s="233" t="str">
        <f>CONCATENATE(IF($Q$25="15","Inherente","")," ",IF($P$34="15","Residual",""))</f>
        <v xml:space="preserve"> </v>
      </c>
      <c r="M61" s="80" t="s">
        <v>194</v>
      </c>
      <c r="N61" s="81"/>
      <c r="O61" s="81"/>
    </row>
    <row r="62" spans="4:17" ht="37.5" customHeight="1" x14ac:dyDescent="0.3">
      <c r="D62" s="370"/>
      <c r="E62" s="39" t="s">
        <v>26</v>
      </c>
      <c r="F62" s="234" t="str">
        <f>CONCATENATE(IF($Q$25="21","Inherente","")," ",IF($P$34="21","Residual",""))</f>
        <v xml:space="preserve"> </v>
      </c>
      <c r="G62" s="234" t="str">
        <f>CONCATENATE(IF($Q$25="22","Inherente","")," ",IF($P$34="22","Residual",""))</f>
        <v xml:space="preserve"> </v>
      </c>
      <c r="H62" s="232" t="str">
        <f>CONCATENATE(IF($Q$25="23","Inherente","")," ",IF($P$34="23","Residual",""))</f>
        <v xml:space="preserve"> </v>
      </c>
      <c r="I62" s="232" t="str">
        <f>CONCATENATE(IF($Q$25="24","Inherente","")," ",IF($P$34="24","Residual",""))</f>
        <v xml:space="preserve"> </v>
      </c>
      <c r="J62" s="233" t="str">
        <f>CONCATENATE(IF($Q$25="25","Inherente","")," ",IF($P$34="25","Residual",""))</f>
        <v xml:space="preserve"> </v>
      </c>
      <c r="M62" s="82" t="s">
        <v>193</v>
      </c>
      <c r="N62" s="83"/>
      <c r="O62" s="83"/>
    </row>
    <row r="63" spans="4:17" ht="37.5" customHeight="1" x14ac:dyDescent="0.3">
      <c r="D63" s="370"/>
      <c r="E63" s="39" t="s">
        <v>24</v>
      </c>
      <c r="F63" s="234" t="str">
        <f>CONCATENATE(IF($Q$25="31","Inherente","")," ",IF($P$34="31","Residual",""))</f>
        <v xml:space="preserve"> </v>
      </c>
      <c r="G63" s="234" t="str">
        <f>CONCATENATE(IF($Q$25="32","Inherente","")," ",IF($P$34="32","Residual",""))</f>
        <v xml:space="preserve"> </v>
      </c>
      <c r="H63" s="234" t="str">
        <f>CONCATENATE(IF($Q$25="33","Inherente","")," ",IF($P$34="33","Residual",""))</f>
        <v xml:space="preserve"> </v>
      </c>
      <c r="I63" s="232" t="str">
        <f>CONCATENATE(IF($Q$25="34","Inherente","")," ",IF($P$34="34","Residual",""))</f>
        <v xml:space="preserve"> </v>
      </c>
      <c r="J63" s="233" t="str">
        <f>CONCATENATE(IF($Q$25="35","Inherente","")," ",IF($P$34="35","Residual",""))</f>
        <v xml:space="preserve"> </v>
      </c>
      <c r="M63" s="84" t="s">
        <v>39</v>
      </c>
      <c r="N63" s="85"/>
      <c r="O63" s="85"/>
    </row>
    <row r="64" spans="4:17" ht="37.5" customHeight="1" x14ac:dyDescent="0.3">
      <c r="D64" s="370"/>
      <c r="E64" s="39" t="s">
        <v>22</v>
      </c>
      <c r="F64" s="235" t="str">
        <f>CONCATENATE(IF($Q$25="41","Inherente","")," ",IF($P$34="41","Residual",""))</f>
        <v xml:space="preserve"> </v>
      </c>
      <c r="G64" s="234" t="str">
        <f>CONCATENATE(IF($Q$25="42","Inherente","")," ",IF($P$34="42","Residual",""))</f>
        <v xml:space="preserve"> </v>
      </c>
      <c r="H64" s="234" t="str">
        <f>CONCATENATE(IF($Q$25="43","Inherente","")," ",IF($P$34="43","Residual",""))</f>
        <v xml:space="preserve"> </v>
      </c>
      <c r="I64" s="232" t="str">
        <f>CONCATENATE(IF($Q$25="44","Inherente","")," ",IF($P$34="44","Residual",""))</f>
        <v xml:space="preserve"> </v>
      </c>
      <c r="J64" s="233" t="str">
        <f>CONCATENATE(IF($Q$25="45","Inherente","")," ",IF($P$34="45","Residual",""))</f>
        <v xml:space="preserve"> </v>
      </c>
      <c r="M64" s="86" t="s">
        <v>207</v>
      </c>
      <c r="N64" s="87"/>
      <c r="O64" s="87"/>
    </row>
    <row r="65" spans="4:10" ht="37.5" customHeight="1" x14ac:dyDescent="0.3">
      <c r="D65" s="370"/>
      <c r="E65" s="39" t="s">
        <v>20</v>
      </c>
      <c r="F65" s="235" t="str">
        <f>CONCATENATE(IF($Q$25="51","Inherente","")," ",IF($P$34="51","Residual",""))</f>
        <v xml:space="preserve"> </v>
      </c>
      <c r="G65" s="235" t="str">
        <f>CONCATENATE(IF($Q$25="52","Inherente","")," ",IF($P$34="52","Residual",""))</f>
        <v xml:space="preserve"> </v>
      </c>
      <c r="H65" s="234" t="str">
        <f>CONCATENATE(IF($Q$25="53","Inherente","")," ",IF($P$34="53","Residual",""))</f>
        <v xml:space="preserve"> </v>
      </c>
      <c r="I65" s="232" t="str">
        <f>CONCATENATE(IF($Q$25="54","Inherente","")," ",IF($P$34="54","Residual",""))</f>
        <v xml:space="preserve"> </v>
      </c>
      <c r="J65" s="233" t="str">
        <f>CONCATENATE(IF($Q$25="55","Inherente","")," ",IF($P$34="55","Residual",""))</f>
        <v xml:space="preserve"> </v>
      </c>
    </row>
    <row r="66" spans="4:10" x14ac:dyDescent="0.3"/>
    <row r="67" spans="4:10" x14ac:dyDescent="0.3"/>
    <row r="68" spans="4:10" x14ac:dyDescent="0.3"/>
    <row r="69" spans="4:10" x14ac:dyDescent="0.3"/>
    <row r="70" spans="4:10" x14ac:dyDescent="0.3"/>
    <row r="71" spans="4:10" x14ac:dyDescent="0.3"/>
    <row r="72" spans="4:10" x14ac:dyDescent="0.3"/>
    <row r="73" spans="4:10" x14ac:dyDescent="0.3"/>
    <row r="74" spans="4:10" x14ac:dyDescent="0.3"/>
    <row r="75" spans="4:10" x14ac:dyDescent="0.3"/>
    <row r="76" spans="4:10" x14ac:dyDescent="0.3"/>
    <row r="77" spans="4:10" x14ac:dyDescent="0.3"/>
    <row r="78" spans="4:10" x14ac:dyDescent="0.3"/>
    <row r="79" spans="4:10" x14ac:dyDescent="0.3"/>
    <row r="80" spans="4:10" x14ac:dyDescent="0.3"/>
    <row r="81" x14ac:dyDescent="0.3"/>
    <row r="82" x14ac:dyDescent="0.3"/>
  </sheetData>
  <sheetProtection algorithmName="SHA-512" hashValue="MywBU8ZKXYX76/2EtSkqcce+YbMkfaOcQWLlb45Iu/t3JL0hLsvDAG/6VFOI2cdy7nGOrlMuQ9Tm0uCw6CRpxA==" saltValue="TEOprfnOkxJQF+L07frgRQ==" spinCount="100000" sheet="1" formatCells="0" formatColumns="0" formatRows="0"/>
  <mergeCells count="42">
    <mergeCell ref="G25:M25"/>
    <mergeCell ref="D24:F25"/>
    <mergeCell ref="D44:M44"/>
    <mergeCell ref="D45:M45"/>
    <mergeCell ref="D52:M52"/>
    <mergeCell ref="D50:M50"/>
    <mergeCell ref="D46:F46"/>
    <mergeCell ref="D48:F48"/>
    <mergeCell ref="G46:M46"/>
    <mergeCell ref="G48:M48"/>
    <mergeCell ref="C1:T4"/>
    <mergeCell ref="D41:F41"/>
    <mergeCell ref="D42:F42"/>
    <mergeCell ref="G33:H33"/>
    <mergeCell ref="D18:M18"/>
    <mergeCell ref="D31:M31"/>
    <mergeCell ref="I33:L33"/>
    <mergeCell ref="D6:M6"/>
    <mergeCell ref="D15:M15"/>
    <mergeCell ref="D12:M12"/>
    <mergeCell ref="M33:M34"/>
    <mergeCell ref="D27:M27"/>
    <mergeCell ref="D29:M29"/>
    <mergeCell ref="D20:M20"/>
    <mergeCell ref="E9:I9"/>
    <mergeCell ref="E8:F8"/>
    <mergeCell ref="K9:M9"/>
    <mergeCell ref="D56:M56"/>
    <mergeCell ref="D33:F34"/>
    <mergeCell ref="D61:D65"/>
    <mergeCell ref="F58:J58"/>
    <mergeCell ref="D35:F35"/>
    <mergeCell ref="D36:F36"/>
    <mergeCell ref="D37:F37"/>
    <mergeCell ref="D38:F38"/>
    <mergeCell ref="D39:F39"/>
    <mergeCell ref="D40:F40"/>
    <mergeCell ref="J54:M54"/>
    <mergeCell ref="D54:I54"/>
    <mergeCell ref="D22:F22"/>
    <mergeCell ref="G22:M22"/>
    <mergeCell ref="G24:M24"/>
  </mergeCells>
  <conditionalFormatting sqref="D27">
    <cfRule type="expression" dxfId="47" priority="60">
      <formula>$D$27="Extremo"</formula>
    </cfRule>
    <cfRule type="expression" dxfId="46" priority="61">
      <formula>$D$27="Alto"</formula>
    </cfRule>
    <cfRule type="expression" dxfId="45" priority="62">
      <formula>$D$27="Moderado"</formula>
    </cfRule>
    <cfRule type="expression" dxfId="44" priority="63">
      <formula>$D$27="Bajo"</formula>
    </cfRule>
  </conditionalFormatting>
  <conditionalFormatting sqref="D50">
    <cfRule type="expression" dxfId="43" priority="19">
      <formula>$D$50="Extremo"</formula>
    </cfRule>
    <cfRule type="expression" dxfId="42" priority="20">
      <formula>$D$50="Alto"</formula>
    </cfRule>
    <cfRule type="expression" dxfId="41" priority="21">
      <formula>$D$50="Moderado"</formula>
    </cfRule>
    <cfRule type="expression" dxfId="40" priority="22">
      <formula>$D$50="Bajo"</formula>
    </cfRule>
  </conditionalFormatting>
  <conditionalFormatting sqref="G22">
    <cfRule type="expression" dxfId="39" priority="53">
      <formula>$G$22="Muy Alta"</formula>
    </cfRule>
    <cfRule type="expression" dxfId="38" priority="54">
      <formula>$G$22="Alta"</formula>
    </cfRule>
    <cfRule type="expression" dxfId="37" priority="55">
      <formula>$G$22="Media"</formula>
    </cfRule>
    <cfRule type="expression" dxfId="36" priority="56">
      <formula>$G$22="Baja"</formula>
    </cfRule>
    <cfRule type="expression" dxfId="35" priority="57">
      <formula>$G$22="Muy Baja"</formula>
    </cfRule>
  </conditionalFormatting>
  <conditionalFormatting sqref="G24:G25">
    <cfRule type="expression" dxfId="34" priority="11">
      <formula>G24="Catastrófico"</formula>
    </cfRule>
    <cfRule type="expression" dxfId="33" priority="12">
      <formula>G24="Mayor"</formula>
    </cfRule>
    <cfRule type="expression" dxfId="32" priority="13">
      <formula>G24="Moderado"</formula>
    </cfRule>
    <cfRule type="expression" dxfId="31" priority="14">
      <formula>G24="Leve"</formula>
    </cfRule>
    <cfRule type="expression" dxfId="30" priority="15">
      <formula>G24="Menor"</formula>
    </cfRule>
  </conditionalFormatting>
  <conditionalFormatting sqref="G46">
    <cfRule type="expression" dxfId="29" priority="6">
      <formula>$G$46="Muy Alta"</formula>
    </cfRule>
    <cfRule type="expression" dxfId="28" priority="7">
      <formula>$G$46="Alta"</formula>
    </cfRule>
    <cfRule type="expression" dxfId="27" priority="8">
      <formula>$G$46="Media"</formula>
    </cfRule>
    <cfRule type="expression" dxfId="26" priority="9">
      <formula>$G$46="Baja"</formula>
    </cfRule>
    <cfRule type="expression" dxfId="25" priority="10">
      <formula>$G$46="Muy Baja"</formula>
    </cfRule>
  </conditionalFormatting>
  <conditionalFormatting sqref="G48">
    <cfRule type="expression" dxfId="24" priority="1">
      <formula>G48="Catastrófico"</formula>
    </cfRule>
    <cfRule type="expression" dxfId="23" priority="2">
      <formula>G48="Mayor"</formula>
    </cfRule>
    <cfRule type="expression" dxfId="22" priority="3">
      <formula>G48="Moderado"</formula>
    </cfRule>
    <cfRule type="expression" dxfId="21" priority="4">
      <formula>G48="Leve"</formula>
    </cfRule>
    <cfRule type="expression" dxfId="20" priority="5">
      <formula>G48="Menor"</formula>
    </cfRule>
  </conditionalFormatting>
  <conditionalFormatting sqref="N27:O27">
    <cfRule type="expression" dxfId="19" priority="67">
      <formula>#REF!&lt;&gt;""</formula>
    </cfRule>
  </conditionalFormatting>
  <dataValidations count="6">
    <dataValidation type="date" allowBlank="1" showInputMessage="1" showErrorMessage="1" promptTitle="FECHA DE ELABORACIÓN" prompt="Digite la fecha de elaboración del mapa de riesgos." sqref="JL1:JL4 TH1:TH4 ADD1:ADD4 AMZ1:AMZ4 AWV1:AWV4 BGR1:BGR4 BQN1:BQN4 CAJ1:CAJ4 CKF1:CKF4 CUB1:CUB4 DDX1:DDX4 DNT1:DNT4 DXP1:DXP4 EHL1:EHL4 ERH1:ERH4 FBD1:FBD4 FKZ1:FKZ4 FUV1:FUV4 GER1:GER4 GON1:GON4 GYJ1:GYJ4 HIF1:HIF4 HSB1:HSB4 IBX1:IBX4 ILT1:ILT4 IVP1:IVP4 JFL1:JFL4 JPH1:JPH4 JZD1:JZD4 KIZ1:KIZ4 KSV1:KSV4 LCR1:LCR4 LMN1:LMN4 LWJ1:LWJ4 MGF1:MGF4 MQB1:MQB4 MZX1:MZX4 NJT1:NJT4 NTP1:NTP4 ODL1:ODL4 ONH1:ONH4 OXD1:OXD4 PGZ1:PGZ4 PQV1:PQV4 QAR1:QAR4 QKN1:QKN4 QUJ1:QUJ4 REF1:REF4 ROB1:ROB4 RXX1:RXX4 SHT1:SHT4 SRP1:SRP4 TBL1:TBL4 TLH1:TLH4 TVD1:TVD4 UEZ1:UEZ4 UOV1:UOV4 UYR1:UYR4 VIN1:VIN4 VSJ1:VSJ4 WCF1:WCF4 WMB1:WMB4 WVX1:WVX4" xr:uid="{17F7FE7F-9B81-4E0F-BA3F-A17FBACEE4AB}">
      <formula1>39448</formula1>
      <formula2>40543</formula2>
    </dataValidation>
    <dataValidation type="list" allowBlank="1" showInputMessage="1" showErrorMessage="1" sqref="G43" xr:uid="{00000000-0002-0000-0000-000000000000}">
      <formula1>"Preventivo,Detectivo,Correctivo"</formula1>
    </dataValidation>
    <dataValidation type="list" allowBlank="1" showInputMessage="1" showErrorMessage="1" sqref="H43" xr:uid="{00000000-0002-0000-0000-000001000000}">
      <formula1>"Automático,Manual"</formula1>
    </dataValidation>
    <dataValidation type="list" allowBlank="1" showInputMessage="1" showErrorMessage="1" sqref="I43" xr:uid="{00000000-0002-0000-0000-000002000000}">
      <formula1>"Documentado,Sin Documentar"</formula1>
    </dataValidation>
    <dataValidation type="list" allowBlank="1" showInputMessage="1" showErrorMessage="1" sqref="J43" xr:uid="{00000000-0002-0000-0000-000003000000}">
      <formula1>"Continua,Aleatoria"</formula1>
    </dataValidation>
    <dataValidation type="list" allowBlank="1" showInputMessage="1" showErrorMessage="1" sqref="K43:L43" xr:uid="{00000000-0002-0000-0000-000004000000}">
      <formula1>"Con Registro,Sin Registro"</formula1>
    </dataValidation>
  </dataValidations>
  <pageMargins left="0.82677165354330717" right="0.62992125984251968" top="1.0629921259842521" bottom="0.74803149606299213" header="0.31496062992125984" footer="0.31496062992125984"/>
  <pageSetup scale="42" orientation="portrait" r:id="rId1"/>
  <headerFooter>
    <oddFooter>&amp;C&amp;G</oddFooter>
  </headerFooter>
  <ignoredErrors>
    <ignoredError sqref="H61:H65 G62:G65 I61:I65" 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51F5F0-CBAC-49D9-8252-08FD66648147}">
          <x14:formula1>
            <xm:f>'Identificación de Riesgos'!$A$8:$A$19</xm:f>
          </x14:formula1>
          <xm:sqref>E8:F8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3"/>
  <sheetViews>
    <sheetView showGridLines="0" zoomScale="80" zoomScaleNormal="80" zoomScalePageLayoutView="70" workbookViewId="0">
      <selection activeCell="F53" sqref="F53"/>
    </sheetView>
  </sheetViews>
  <sheetFormatPr baseColWidth="10" defaultColWidth="0" defaultRowHeight="14.4" x14ac:dyDescent="0.3"/>
  <cols>
    <col min="1" max="1" width="2.88671875" style="17" customWidth="1"/>
    <col min="2" max="2" width="17.109375" style="17" customWidth="1"/>
    <col min="3" max="5" width="21.44140625" style="17" customWidth="1"/>
    <col min="6" max="6" width="23" style="17" customWidth="1"/>
    <col min="7" max="12" width="21.44140625" style="17" customWidth="1"/>
    <col min="13" max="13" width="8.5546875" style="17" customWidth="1"/>
    <col min="14" max="14" width="12.88671875" style="17" customWidth="1"/>
    <col min="15" max="16" width="21.44140625" style="17" customWidth="1"/>
    <col min="17" max="17" width="4.44140625" style="17" hidden="1" customWidth="1"/>
    <col min="18" max="24" width="3.44140625" style="17" hidden="1" customWidth="1"/>
    <col min="25" max="25" width="2.88671875" style="17" customWidth="1"/>
    <col min="26" max="32" width="0" style="17" hidden="1" customWidth="1"/>
    <col min="33" max="16384" width="11.44140625" style="17" hidden="1"/>
  </cols>
  <sheetData>
    <row r="1" spans="1:25" s="18" customForma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28.8" x14ac:dyDescent="0.3">
      <c r="B2" s="422" t="s">
        <v>327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19"/>
      <c r="R2" s="19"/>
      <c r="S2" s="19"/>
      <c r="T2" s="19"/>
      <c r="U2" s="19"/>
      <c r="V2" s="19"/>
    </row>
    <row r="4" spans="1:25" ht="25.8" x14ac:dyDescent="0.3">
      <c r="B4" s="20" t="s">
        <v>347</v>
      </c>
      <c r="C4" s="410"/>
      <c r="D4" s="410"/>
      <c r="E4" s="410"/>
      <c r="F4" s="410"/>
      <c r="G4" s="410"/>
      <c r="H4" s="21"/>
      <c r="I4" s="22" t="s">
        <v>328</v>
      </c>
      <c r="J4" s="410"/>
      <c r="K4" s="410"/>
      <c r="L4" s="410"/>
      <c r="M4" s="410"/>
      <c r="N4" s="410"/>
      <c r="O4" s="410"/>
      <c r="P4" s="21"/>
      <c r="Q4" s="21"/>
      <c r="R4" s="23"/>
      <c r="S4" s="23"/>
      <c r="T4" s="23"/>
      <c r="U4" s="23"/>
      <c r="V4" s="23"/>
    </row>
    <row r="5" spans="1:25" ht="6" customHeight="1" x14ac:dyDescent="0.3">
      <c r="B5" s="24"/>
      <c r="C5" s="24"/>
      <c r="D5" s="24"/>
    </row>
    <row r="6" spans="1:25" ht="23.4" x14ac:dyDescent="0.45">
      <c r="B6" s="25" t="s">
        <v>348</v>
      </c>
      <c r="C6" s="26"/>
      <c r="D6" s="26"/>
    </row>
    <row r="7" spans="1:25" ht="45" customHeight="1" x14ac:dyDescent="0.3"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27"/>
      <c r="R7" s="28"/>
      <c r="S7" s="28"/>
      <c r="T7" s="28"/>
      <c r="U7" s="28"/>
      <c r="V7" s="28"/>
    </row>
    <row r="8" spans="1:25" ht="6" customHeight="1" x14ac:dyDescent="0.3"/>
    <row r="9" spans="1:25" ht="23.4" hidden="1" x14ac:dyDescent="0.45">
      <c r="B9" s="25" t="s">
        <v>349</v>
      </c>
    </row>
    <row r="10" spans="1:25" ht="6.75" hidden="1" customHeight="1" x14ac:dyDescent="0.35">
      <c r="B10" s="29"/>
    </row>
    <row r="11" spans="1:25" ht="60" hidden="1" customHeight="1" x14ac:dyDescent="0.35">
      <c r="B11" s="30"/>
      <c r="C11" s="31" t="s">
        <v>350</v>
      </c>
      <c r="D11" s="32"/>
      <c r="E11" s="33" t="s">
        <v>351</v>
      </c>
      <c r="F11" s="34" t="s">
        <v>352</v>
      </c>
      <c r="G11" s="32"/>
      <c r="H11" s="33" t="s">
        <v>351</v>
      </c>
      <c r="I11" s="31" t="s">
        <v>353</v>
      </c>
      <c r="J11" s="35"/>
      <c r="K11" s="33" t="s">
        <v>351</v>
      </c>
      <c r="L11" s="31" t="s">
        <v>354</v>
      </c>
      <c r="M11" s="369"/>
      <c r="N11" s="369"/>
      <c r="O11" s="30"/>
      <c r="P11" s="30"/>
      <c r="Q11" s="30"/>
      <c r="R11" s="36"/>
      <c r="S11" s="36"/>
      <c r="T11" s="36"/>
      <c r="U11" s="36"/>
      <c r="V11" s="36"/>
    </row>
    <row r="12" spans="1:25" ht="5.25" hidden="1" customHeight="1" x14ac:dyDescent="0.3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6"/>
      <c r="S12" s="36"/>
      <c r="T12" s="36"/>
      <c r="U12" s="36"/>
      <c r="V12" s="36"/>
    </row>
    <row r="13" spans="1:25" ht="22.5" customHeight="1" x14ac:dyDescent="0.45">
      <c r="B13" s="25" t="s">
        <v>355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6"/>
      <c r="S13" s="36"/>
      <c r="T13" s="36"/>
      <c r="U13" s="36"/>
      <c r="V13" s="36"/>
    </row>
    <row r="14" spans="1:25" ht="22.5" customHeight="1" x14ac:dyDescent="0.35">
      <c r="B14" s="37"/>
      <c r="F14" s="77" t="s">
        <v>356</v>
      </c>
      <c r="G14" s="38"/>
      <c r="H14" s="77" t="s">
        <v>357</v>
      </c>
      <c r="I14" s="38"/>
      <c r="J14" s="77" t="s">
        <v>358</v>
      </c>
      <c r="K14" s="38"/>
      <c r="L14" s="21"/>
      <c r="M14" s="21"/>
      <c r="N14" s="21"/>
      <c r="O14" s="37"/>
      <c r="P14" s="37"/>
      <c r="Q14" s="37"/>
      <c r="R14" s="36"/>
      <c r="S14" s="36"/>
      <c r="T14" s="36"/>
      <c r="U14" s="36"/>
      <c r="V14" s="36"/>
    </row>
    <row r="15" spans="1:25" ht="7.5" customHeight="1" x14ac:dyDescent="0.35">
      <c r="B15" s="37"/>
      <c r="E15" s="39"/>
      <c r="F15" s="21"/>
      <c r="G15" s="39"/>
      <c r="H15" s="39"/>
      <c r="I15" s="21"/>
      <c r="J15" s="39"/>
      <c r="K15" s="21"/>
      <c r="L15" s="21"/>
      <c r="M15" s="21"/>
      <c r="N15" s="21"/>
      <c r="O15" s="37"/>
      <c r="P15" s="37"/>
      <c r="Q15" s="37"/>
      <c r="R15" s="36"/>
      <c r="S15" s="36"/>
      <c r="T15" s="36"/>
      <c r="U15" s="36"/>
      <c r="V15" s="36"/>
    </row>
    <row r="16" spans="1:25" ht="22.5" customHeight="1" x14ac:dyDescent="0.35">
      <c r="C16" s="76" t="s">
        <v>359</v>
      </c>
      <c r="E16" s="39"/>
      <c r="F16" s="21"/>
      <c r="G16" s="39"/>
      <c r="I16" s="76" t="s">
        <v>360</v>
      </c>
      <c r="J16" s="39"/>
      <c r="K16" s="21"/>
      <c r="L16" s="21"/>
      <c r="M16" s="21"/>
      <c r="N16" s="21"/>
      <c r="O16" s="37"/>
      <c r="P16" s="37"/>
      <c r="Q16" s="37"/>
      <c r="R16" s="36"/>
      <c r="S16" s="36"/>
      <c r="T16" s="36"/>
      <c r="U16" s="36"/>
      <c r="V16" s="36"/>
    </row>
    <row r="17" spans="2:24" ht="90" customHeight="1" x14ac:dyDescent="0.35">
      <c r="B17" s="30"/>
      <c r="C17" s="432"/>
      <c r="D17" s="432"/>
      <c r="E17" s="432"/>
      <c r="F17" s="432"/>
      <c r="G17" s="432"/>
      <c r="H17" s="432"/>
      <c r="I17" s="429"/>
      <c r="J17" s="375"/>
      <c r="K17" s="375"/>
      <c r="L17" s="375"/>
      <c r="M17" s="375"/>
      <c r="N17" s="375"/>
      <c r="O17" s="375"/>
      <c r="P17" s="21"/>
      <c r="Q17" s="21"/>
      <c r="R17" s="36"/>
      <c r="S17" s="36"/>
      <c r="T17" s="36"/>
      <c r="U17" s="36"/>
      <c r="V17" s="36"/>
    </row>
    <row r="19" spans="2:24" ht="28.8" x14ac:dyDescent="0.3">
      <c r="B19" s="422" t="s">
        <v>361</v>
      </c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0"/>
      <c r="R19" s="40"/>
      <c r="S19" s="40"/>
      <c r="T19" s="40"/>
      <c r="U19" s="40"/>
      <c r="V19" s="40"/>
    </row>
    <row r="20" spans="2:24" ht="5.25" customHeight="1" x14ac:dyDescent="0.3"/>
    <row r="21" spans="2:24" ht="23.4" x14ac:dyDescent="0.3">
      <c r="B21" s="423" t="s">
        <v>17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23"/>
      <c r="R21" s="23"/>
      <c r="S21" s="23"/>
      <c r="T21" s="23"/>
      <c r="U21" s="23"/>
      <c r="V21" s="23"/>
    </row>
    <row r="22" spans="2:24" ht="6" customHeight="1" x14ac:dyDescent="0.3"/>
    <row r="23" spans="2:24" s="41" customFormat="1" ht="30" customHeight="1" x14ac:dyDescent="0.3"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17" t="e">
        <f>CONCATENATE(R23,Q48)</f>
        <v>#N/A</v>
      </c>
      <c r="R23" s="17" t="e">
        <f>VLOOKUP(B23,Hoja2!N3:Q8,4,FALSE)</f>
        <v>#N/A</v>
      </c>
      <c r="S23" s="42"/>
      <c r="T23" s="42"/>
      <c r="U23" s="42"/>
      <c r="V23" s="42"/>
    </row>
    <row r="24" spans="2:24" ht="15.75" customHeight="1" x14ac:dyDescent="0.3"/>
    <row r="25" spans="2:24" ht="23.4" x14ac:dyDescent="0.3">
      <c r="B25" s="423" t="s">
        <v>345</v>
      </c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23"/>
      <c r="R25" s="23"/>
      <c r="S25" s="23"/>
      <c r="T25" s="23"/>
      <c r="U25" s="23"/>
      <c r="V25" s="23"/>
      <c r="X25" s="24"/>
    </row>
    <row r="26" spans="2:24" ht="6" customHeight="1" x14ac:dyDescent="0.3"/>
    <row r="27" spans="2:24" ht="23.25" customHeight="1" x14ac:dyDescent="0.3">
      <c r="D27" s="43"/>
      <c r="E27" s="412"/>
      <c r="F27" s="413"/>
      <c r="G27" s="413"/>
      <c r="H27" s="413"/>
      <c r="I27" s="413"/>
      <c r="J27" s="413"/>
      <c r="K27" s="413"/>
      <c r="L27" s="414"/>
      <c r="M27" s="412"/>
      <c r="N27" s="414"/>
    </row>
    <row r="28" spans="2:24" ht="23.25" customHeight="1" x14ac:dyDescent="0.3">
      <c r="D28" s="38">
        <v>1</v>
      </c>
      <c r="E28" s="426" t="s">
        <v>362</v>
      </c>
      <c r="F28" s="426"/>
      <c r="G28" s="426"/>
      <c r="H28" s="426"/>
      <c r="I28" s="426"/>
      <c r="J28" s="426"/>
      <c r="K28" s="426"/>
      <c r="L28" s="426"/>
      <c r="M28" s="411"/>
      <c r="N28" s="411"/>
      <c r="S28" s="44"/>
      <c r="T28" s="44"/>
      <c r="U28" s="44"/>
      <c r="V28" s="44"/>
    </row>
    <row r="29" spans="2:24" ht="23.25" customHeight="1" x14ac:dyDescent="0.3">
      <c r="D29" s="38">
        <v>2</v>
      </c>
      <c r="E29" s="426" t="s">
        <v>363</v>
      </c>
      <c r="F29" s="426"/>
      <c r="G29" s="426"/>
      <c r="H29" s="426"/>
      <c r="I29" s="426"/>
      <c r="J29" s="426"/>
      <c r="K29" s="426"/>
      <c r="L29" s="426"/>
      <c r="M29" s="411"/>
      <c r="N29" s="411"/>
      <c r="S29" s="44"/>
      <c r="T29" s="44"/>
      <c r="U29" s="44"/>
      <c r="V29" s="44"/>
    </row>
    <row r="30" spans="2:24" ht="23.25" customHeight="1" x14ac:dyDescent="0.3">
      <c r="D30" s="38">
        <v>3</v>
      </c>
      <c r="E30" s="426" t="s">
        <v>364</v>
      </c>
      <c r="F30" s="426"/>
      <c r="G30" s="426"/>
      <c r="H30" s="426"/>
      <c r="I30" s="426"/>
      <c r="J30" s="426"/>
      <c r="K30" s="426"/>
      <c r="L30" s="426"/>
      <c r="M30" s="411"/>
      <c r="N30" s="411"/>
      <c r="S30" s="44"/>
      <c r="T30" s="44"/>
      <c r="U30" s="44"/>
      <c r="V30" s="44"/>
    </row>
    <row r="31" spans="2:24" ht="23.25" customHeight="1" x14ac:dyDescent="0.3">
      <c r="D31" s="38">
        <v>4</v>
      </c>
      <c r="E31" s="426" t="s">
        <v>365</v>
      </c>
      <c r="F31" s="426"/>
      <c r="G31" s="426"/>
      <c r="H31" s="426"/>
      <c r="I31" s="426"/>
      <c r="J31" s="426"/>
      <c r="K31" s="426"/>
      <c r="L31" s="426"/>
      <c r="M31" s="411"/>
      <c r="N31" s="411"/>
      <c r="S31" s="44"/>
      <c r="T31" s="44"/>
      <c r="U31" s="44"/>
      <c r="V31" s="44"/>
    </row>
    <row r="32" spans="2:24" ht="23.25" customHeight="1" x14ac:dyDescent="0.3">
      <c r="D32" s="38">
        <v>5</v>
      </c>
      <c r="E32" s="426" t="s">
        <v>366</v>
      </c>
      <c r="F32" s="426"/>
      <c r="G32" s="426"/>
      <c r="H32" s="426"/>
      <c r="I32" s="426"/>
      <c r="J32" s="426"/>
      <c r="K32" s="426"/>
      <c r="L32" s="426"/>
      <c r="M32" s="411"/>
      <c r="N32" s="411"/>
      <c r="S32" s="44"/>
      <c r="T32" s="44"/>
      <c r="U32" s="44"/>
      <c r="V32" s="44"/>
    </row>
    <row r="33" spans="2:22" ht="23.25" customHeight="1" x14ac:dyDescent="0.3">
      <c r="D33" s="38">
        <v>6</v>
      </c>
      <c r="E33" s="426" t="s">
        <v>367</v>
      </c>
      <c r="F33" s="426"/>
      <c r="G33" s="426"/>
      <c r="H33" s="426"/>
      <c r="I33" s="426"/>
      <c r="J33" s="426"/>
      <c r="K33" s="426"/>
      <c r="L33" s="426"/>
      <c r="M33" s="411"/>
      <c r="N33" s="411"/>
      <c r="S33" s="44"/>
      <c r="T33" s="44"/>
      <c r="U33" s="44"/>
      <c r="V33" s="44"/>
    </row>
    <row r="34" spans="2:22" ht="23.25" customHeight="1" x14ac:dyDescent="0.3">
      <c r="D34" s="38">
        <v>7</v>
      </c>
      <c r="E34" s="426" t="s">
        <v>368</v>
      </c>
      <c r="F34" s="426"/>
      <c r="G34" s="426"/>
      <c r="H34" s="426"/>
      <c r="I34" s="426"/>
      <c r="J34" s="426"/>
      <c r="K34" s="426"/>
      <c r="L34" s="426"/>
      <c r="M34" s="411"/>
      <c r="N34" s="411"/>
      <c r="S34" s="44"/>
      <c r="T34" s="44"/>
      <c r="U34" s="44"/>
      <c r="V34" s="44"/>
    </row>
    <row r="35" spans="2:22" ht="23.25" customHeight="1" x14ac:dyDescent="0.3">
      <c r="D35" s="38">
        <v>8</v>
      </c>
      <c r="E35" s="426" t="s">
        <v>369</v>
      </c>
      <c r="F35" s="426"/>
      <c r="G35" s="426"/>
      <c r="H35" s="426"/>
      <c r="I35" s="426"/>
      <c r="J35" s="426"/>
      <c r="K35" s="426"/>
      <c r="L35" s="426"/>
      <c r="M35" s="411"/>
      <c r="N35" s="411"/>
      <c r="S35" s="44"/>
      <c r="T35" s="44"/>
      <c r="U35" s="44"/>
      <c r="V35" s="44"/>
    </row>
    <row r="36" spans="2:22" ht="23.25" customHeight="1" x14ac:dyDescent="0.3">
      <c r="D36" s="38">
        <v>9</v>
      </c>
      <c r="E36" s="426" t="s">
        <v>370</v>
      </c>
      <c r="F36" s="426"/>
      <c r="G36" s="426"/>
      <c r="H36" s="426"/>
      <c r="I36" s="426"/>
      <c r="J36" s="426"/>
      <c r="K36" s="426"/>
      <c r="L36" s="426"/>
      <c r="M36" s="411"/>
      <c r="N36" s="411"/>
      <c r="S36" s="44"/>
      <c r="T36" s="44"/>
      <c r="U36" s="44"/>
      <c r="V36" s="44"/>
    </row>
    <row r="37" spans="2:22" ht="23.25" customHeight="1" x14ac:dyDescent="0.3">
      <c r="D37" s="38">
        <v>10</v>
      </c>
      <c r="E37" s="426" t="s">
        <v>371</v>
      </c>
      <c r="F37" s="426"/>
      <c r="G37" s="426"/>
      <c r="H37" s="426"/>
      <c r="I37" s="426"/>
      <c r="J37" s="426"/>
      <c r="K37" s="426"/>
      <c r="L37" s="426"/>
      <c r="M37" s="411"/>
      <c r="N37" s="411"/>
      <c r="S37" s="44"/>
      <c r="T37" s="44"/>
      <c r="U37" s="44"/>
      <c r="V37" s="44"/>
    </row>
    <row r="38" spans="2:22" ht="23.25" customHeight="1" x14ac:dyDescent="0.3">
      <c r="D38" s="38">
        <v>11</v>
      </c>
      <c r="E38" s="426" t="s">
        <v>372</v>
      </c>
      <c r="F38" s="426"/>
      <c r="G38" s="426"/>
      <c r="H38" s="426"/>
      <c r="I38" s="426"/>
      <c r="J38" s="426"/>
      <c r="K38" s="426"/>
      <c r="L38" s="426"/>
      <c r="M38" s="411"/>
      <c r="N38" s="411"/>
      <c r="S38" s="44"/>
      <c r="T38" s="44"/>
      <c r="U38" s="44"/>
      <c r="V38" s="44"/>
    </row>
    <row r="39" spans="2:22" ht="23.25" customHeight="1" x14ac:dyDescent="0.3">
      <c r="D39" s="38">
        <v>12</v>
      </c>
      <c r="E39" s="426" t="s">
        <v>373</v>
      </c>
      <c r="F39" s="426"/>
      <c r="G39" s="426"/>
      <c r="H39" s="426"/>
      <c r="I39" s="426"/>
      <c r="J39" s="426"/>
      <c r="K39" s="426"/>
      <c r="L39" s="426"/>
      <c r="M39" s="411"/>
      <c r="N39" s="411"/>
      <c r="S39" s="44"/>
      <c r="T39" s="44"/>
      <c r="U39" s="44"/>
      <c r="V39" s="44"/>
    </row>
    <row r="40" spans="2:22" ht="23.25" customHeight="1" x14ac:dyDescent="0.3">
      <c r="D40" s="38">
        <v>13</v>
      </c>
      <c r="E40" s="426" t="s">
        <v>374</v>
      </c>
      <c r="F40" s="426"/>
      <c r="G40" s="426"/>
      <c r="H40" s="426"/>
      <c r="I40" s="426"/>
      <c r="J40" s="426"/>
      <c r="K40" s="426"/>
      <c r="L40" s="426"/>
      <c r="M40" s="411"/>
      <c r="N40" s="411"/>
      <c r="S40" s="44"/>
      <c r="T40" s="44"/>
      <c r="U40" s="44"/>
      <c r="V40" s="44"/>
    </row>
    <row r="41" spans="2:22" ht="23.25" customHeight="1" x14ac:dyDescent="0.3">
      <c r="D41" s="38">
        <v>14</v>
      </c>
      <c r="E41" s="426" t="s">
        <v>375</v>
      </c>
      <c r="F41" s="426"/>
      <c r="G41" s="426"/>
      <c r="H41" s="426"/>
      <c r="I41" s="426"/>
      <c r="J41" s="426"/>
      <c r="K41" s="426"/>
      <c r="L41" s="426"/>
      <c r="M41" s="411"/>
      <c r="N41" s="411"/>
      <c r="S41" s="44"/>
      <c r="T41" s="44"/>
      <c r="U41" s="44"/>
      <c r="V41" s="44"/>
    </row>
    <row r="42" spans="2:22" ht="23.25" customHeight="1" x14ac:dyDescent="0.3">
      <c r="D42" s="38">
        <v>15</v>
      </c>
      <c r="E42" s="426" t="s">
        <v>376</v>
      </c>
      <c r="F42" s="426"/>
      <c r="G42" s="426"/>
      <c r="H42" s="426"/>
      <c r="I42" s="426"/>
      <c r="J42" s="426"/>
      <c r="K42" s="426"/>
      <c r="L42" s="426"/>
      <c r="M42" s="411"/>
      <c r="N42" s="411"/>
      <c r="S42" s="44"/>
      <c r="T42" s="44"/>
      <c r="U42" s="44"/>
      <c r="V42" s="44"/>
    </row>
    <row r="43" spans="2:22" ht="23.25" customHeight="1" x14ac:dyDescent="0.3">
      <c r="D43" s="38">
        <v>16</v>
      </c>
      <c r="E43" s="426" t="s">
        <v>377</v>
      </c>
      <c r="F43" s="426"/>
      <c r="G43" s="426"/>
      <c r="H43" s="426"/>
      <c r="I43" s="426"/>
      <c r="J43" s="426"/>
      <c r="K43" s="426"/>
      <c r="L43" s="426"/>
      <c r="M43" s="411"/>
      <c r="N43" s="411"/>
      <c r="S43" s="44"/>
      <c r="T43" s="44"/>
      <c r="U43" s="44"/>
      <c r="V43" s="44"/>
    </row>
    <row r="44" spans="2:22" ht="23.25" customHeight="1" x14ac:dyDescent="0.3">
      <c r="D44" s="38">
        <v>17</v>
      </c>
      <c r="E44" s="426" t="s">
        <v>378</v>
      </c>
      <c r="F44" s="426"/>
      <c r="G44" s="426"/>
      <c r="H44" s="426"/>
      <c r="I44" s="426"/>
      <c r="J44" s="426"/>
      <c r="K44" s="426"/>
      <c r="L44" s="426"/>
      <c r="M44" s="411"/>
      <c r="N44" s="411"/>
      <c r="S44" s="44"/>
      <c r="T44" s="44"/>
      <c r="U44" s="44"/>
      <c r="V44" s="44"/>
    </row>
    <row r="45" spans="2:22" ht="23.25" customHeight="1" x14ac:dyDescent="0.3">
      <c r="D45" s="38">
        <v>18</v>
      </c>
      <c r="E45" s="426" t="s">
        <v>379</v>
      </c>
      <c r="F45" s="426"/>
      <c r="G45" s="426"/>
      <c r="H45" s="426"/>
      <c r="I45" s="426"/>
      <c r="J45" s="426"/>
      <c r="K45" s="426"/>
      <c r="L45" s="426"/>
      <c r="M45" s="411"/>
      <c r="N45" s="411"/>
      <c r="S45" s="44"/>
      <c r="T45" s="44"/>
      <c r="U45" s="44"/>
      <c r="V45" s="44"/>
    </row>
    <row r="46" spans="2:22" ht="23.25" customHeight="1" x14ac:dyDescent="0.3">
      <c r="D46" s="38">
        <v>19</v>
      </c>
      <c r="E46" s="426" t="s">
        <v>380</v>
      </c>
      <c r="F46" s="426"/>
      <c r="G46" s="426"/>
      <c r="H46" s="426"/>
      <c r="I46" s="426"/>
      <c r="J46" s="426"/>
      <c r="K46" s="426"/>
      <c r="L46" s="426"/>
      <c r="M46" s="411"/>
      <c r="N46" s="411"/>
      <c r="S46" s="44"/>
      <c r="T46" s="44"/>
      <c r="U46" s="44"/>
      <c r="V46" s="44"/>
    </row>
    <row r="47" spans="2:22" ht="15.75" customHeight="1" x14ac:dyDescent="0.3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75">
        <f>IF(M43="SI",19,COUNTIFS(M28:M46,"SI"))</f>
        <v>0</v>
      </c>
      <c r="P47" s="45"/>
      <c r="Q47" s="45"/>
      <c r="R47" s="28"/>
      <c r="S47" s="28"/>
      <c r="T47" s="28"/>
      <c r="U47" s="28"/>
      <c r="V47" s="28"/>
    </row>
    <row r="48" spans="2:22" ht="30" customHeight="1" x14ac:dyDescent="0.3">
      <c r="B48" s="424" t="str">
        <f>IF(AND(O47&gt;=1,O47&lt;=5),"Moderado",IF(AND(O47&gt;=6,O47&lt;=11),"Mayor",IF(AND(O47&gt;=12,O47&lt;=19),"Catastrófico","")))</f>
        <v/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28" t="str">
        <f>IFERROR(VLOOKUP(B48,Hoja2!N11:Q13,4,FALSE),"")</f>
        <v/>
      </c>
      <c r="R48" s="28"/>
      <c r="S48" s="28"/>
      <c r="T48" s="28"/>
      <c r="U48" s="28"/>
      <c r="V48" s="28"/>
    </row>
    <row r="49" spans="2:25" ht="15.75" customHeight="1" x14ac:dyDescent="0.3">
      <c r="E49" s="28"/>
      <c r="F49" s="28"/>
      <c r="G49" s="28"/>
      <c r="H49" s="28"/>
      <c r="I49" s="28"/>
      <c r="J49" s="28"/>
      <c r="K49" s="28"/>
      <c r="L49" s="28"/>
      <c r="M49" s="28"/>
      <c r="N49" s="28"/>
      <c r="P49" s="28"/>
      <c r="Q49" s="28"/>
      <c r="R49" s="28"/>
      <c r="S49" s="28"/>
      <c r="T49" s="28"/>
      <c r="U49" s="28"/>
      <c r="V49" s="28"/>
    </row>
    <row r="50" spans="2:25" ht="28.8" x14ac:dyDescent="0.3">
      <c r="B50" s="422" t="s">
        <v>381</v>
      </c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40"/>
      <c r="R50" s="17" t="e">
        <f>IF(R52&lt;=0,1,R52)</f>
        <v>#N/A</v>
      </c>
      <c r="S50" s="40"/>
      <c r="T50" s="40"/>
      <c r="U50" s="40"/>
      <c r="V50" s="40"/>
    </row>
    <row r="51" spans="2:25" ht="6" customHeight="1" x14ac:dyDescent="0.3"/>
    <row r="52" spans="2:25" ht="37.5" customHeight="1" x14ac:dyDescent="0.35">
      <c r="B52" s="404" t="s">
        <v>382</v>
      </c>
      <c r="C52" s="405"/>
      <c r="D52" s="406"/>
      <c r="E52" s="46" t="s">
        <v>383</v>
      </c>
      <c r="F52" s="47" t="s">
        <v>384</v>
      </c>
      <c r="G52" s="46" t="s">
        <v>385</v>
      </c>
      <c r="H52" s="46" t="s">
        <v>386</v>
      </c>
      <c r="I52" s="48" t="s">
        <v>387</v>
      </c>
      <c r="J52" s="407" t="s">
        <v>388</v>
      </c>
      <c r="K52" s="407"/>
      <c r="L52" s="47" t="s">
        <v>389</v>
      </c>
      <c r="M52" s="391" t="s">
        <v>390</v>
      </c>
      <c r="N52" s="391"/>
      <c r="O52" s="47" t="s">
        <v>391</v>
      </c>
      <c r="P52" s="47" t="s">
        <v>392</v>
      </c>
      <c r="Q52" s="49" t="e">
        <f>AVERAGE(Q53:Q58)</f>
        <v>#DIV/0!</v>
      </c>
      <c r="R52" s="17" t="e">
        <f>IF(G60="Fuerte",R23-2,IF(G60="Moderado",R23-1,R23))</f>
        <v>#N/A</v>
      </c>
      <c r="S52" s="50" t="e">
        <f>CONCATENATE(R50,Q48)</f>
        <v>#N/A</v>
      </c>
      <c r="T52" s="51"/>
      <c r="U52" s="51"/>
      <c r="V52" s="51"/>
      <c r="X52" s="50"/>
      <c r="Y52" s="52"/>
    </row>
    <row r="53" spans="2:25" ht="45" customHeight="1" x14ac:dyDescent="0.3">
      <c r="B53" s="403"/>
      <c r="C53" s="403"/>
      <c r="D53" s="403"/>
      <c r="E53" s="53"/>
      <c r="F53" s="53"/>
      <c r="G53" s="53"/>
      <c r="H53" s="53"/>
      <c r="I53" s="53"/>
      <c r="J53" s="408"/>
      <c r="K53" s="409"/>
      <c r="L53" s="53"/>
      <c r="M53" s="70" t="str">
        <f>IFERROR(IF(SUM(R53:X53)=0,"",SUM(R53:X53)),"")</f>
        <v/>
      </c>
      <c r="N53" s="70" t="str">
        <f t="shared" ref="N53:N54" si="0">IF(M53="","",IF(AND(M53&gt;=0,M53&lt;=85),"Débil",IF(AND(M53&gt;=86,M53&lt;=95),"Moderado",IF(M53&gt;=96,"Fuerte",""))))</f>
        <v/>
      </c>
      <c r="O53" s="54"/>
      <c r="P53" s="70" t="str">
        <f>IF(Q53="","",IF(Q53=100,"Fuerte",IF(Q53=50,"Moderado","Débil")))</f>
        <v/>
      </c>
      <c r="Q53" s="43" t="str">
        <f t="shared" ref="Q53:Q54" si="1">IF(M53="","",IF(AND(N53="Fuerte",O53="Fuerte"),100,IF(OR(AND(N53="Moderado",O53="Moderado"),AND(N53&lt;&gt;"Débil",O53&lt;&gt;"Débil")),50,IF(OR(N53="Débil",O53="Débil"),0,""))))</f>
        <v/>
      </c>
      <c r="R53" s="55" t="str">
        <f t="shared" ref="R53:R58" si="2">IF(E53="Asignado",15,IF(E53="No Asignado",0,""))</f>
        <v/>
      </c>
      <c r="S53" s="55" t="str">
        <f t="shared" ref="S53:S58" si="3">IF(F53="Adecuado",15,IF(F53="Inadecuado",0,""))</f>
        <v/>
      </c>
      <c r="T53" s="55" t="str">
        <f t="shared" ref="T53:T58" si="4">IF(G53="Oportuna",15,IF(G53="Inoportuna",0,""))</f>
        <v/>
      </c>
      <c r="U53" s="55" t="str">
        <f t="shared" ref="U53:U58" si="5">IF(H53="Prevenir",15,IF(H53="Detectar",10,IF(H53="No es un Control",0,"")))</f>
        <v/>
      </c>
      <c r="V53" s="55" t="str">
        <f t="shared" ref="V53:V58" si="6">IF(I53="Confiable",15,IF(I53="No Confiable",0,""))</f>
        <v/>
      </c>
      <c r="W53" s="55" t="str">
        <f t="shared" ref="W53:W58" si="7">IF(J53="Se identifica y se gestionan para subsanar la observación",15,IF(J53="No se identifica y se gestionan para subsanar la observación",0,""))</f>
        <v/>
      </c>
      <c r="X53" s="56" t="str">
        <f>IF(L53="Completa",10,IF(L53="Incompleta",5,IF(L53="No Existe",0,"")))</f>
        <v/>
      </c>
    </row>
    <row r="54" spans="2:25" ht="45" customHeight="1" x14ac:dyDescent="0.3">
      <c r="B54" s="415"/>
      <c r="C54" s="415"/>
      <c r="D54" s="415"/>
      <c r="E54" s="53"/>
      <c r="F54" s="53"/>
      <c r="G54" s="53"/>
      <c r="H54" s="53"/>
      <c r="I54" s="53"/>
      <c r="J54" s="408"/>
      <c r="K54" s="409"/>
      <c r="L54" s="53"/>
      <c r="M54" s="70" t="str">
        <f t="shared" ref="M54:M58" si="8">IFERROR(IF(SUM(R54:X54)=0,"",SUM(R54:X54)),"")</f>
        <v/>
      </c>
      <c r="N54" s="70" t="str">
        <f t="shared" si="0"/>
        <v/>
      </c>
      <c r="O54" s="54"/>
      <c r="P54" s="70" t="str">
        <f t="shared" ref="P54:P58" si="9">IF(Q54="","",IF(Q54=100,"Fuerte",IF(Q54=50,"Moderado","Débil")))</f>
        <v/>
      </c>
      <c r="Q54" s="43" t="str">
        <f t="shared" si="1"/>
        <v/>
      </c>
      <c r="R54" s="55" t="str">
        <f t="shared" si="2"/>
        <v/>
      </c>
      <c r="S54" s="55" t="str">
        <f t="shared" si="3"/>
        <v/>
      </c>
      <c r="T54" s="55" t="str">
        <f t="shared" si="4"/>
        <v/>
      </c>
      <c r="U54" s="55" t="str">
        <f t="shared" si="5"/>
        <v/>
      </c>
      <c r="V54" s="55" t="str">
        <f t="shared" si="6"/>
        <v/>
      </c>
      <c r="W54" s="55" t="str">
        <f t="shared" si="7"/>
        <v/>
      </c>
      <c r="X54" s="56" t="str">
        <f t="shared" ref="X54:X58" si="10">IF(L54="Completa",10,IF(L54="Incompleta",5,IF(L54="No Existe",0,"")))</f>
        <v/>
      </c>
    </row>
    <row r="55" spans="2:25" ht="45" customHeight="1" x14ac:dyDescent="0.3">
      <c r="B55" s="415"/>
      <c r="C55" s="415"/>
      <c r="D55" s="415"/>
      <c r="E55" s="53"/>
      <c r="F55" s="53"/>
      <c r="G55" s="53"/>
      <c r="H55" s="53"/>
      <c r="I55" s="53"/>
      <c r="J55" s="408"/>
      <c r="K55" s="409"/>
      <c r="L55" s="53"/>
      <c r="M55" s="70" t="str">
        <f t="shared" si="8"/>
        <v/>
      </c>
      <c r="N55" s="70" t="str">
        <f>IF(M55="","",IF(AND(M55&gt;=0,M55&lt;=85),"Débil",IF(AND(M55&gt;=86,M55&lt;=95),"Moderado",IF(M55&gt;=96,"Fuerte",""))))</f>
        <v/>
      </c>
      <c r="O55" s="54"/>
      <c r="P55" s="70" t="str">
        <f t="shared" si="9"/>
        <v/>
      </c>
      <c r="Q55" s="43" t="str">
        <f>IF(M55="","",IF(AND(N55="Fuerte",O55="Fuerte"),100,IF(OR(AND(N55="Moderado",O55="Moderado"),AND(N55&lt;&gt;"Débil",O55&lt;&gt;"Débil")),50,IF(OR(N55="Débil",O55="Débil"),0,""))))</f>
        <v/>
      </c>
      <c r="R55" s="55" t="str">
        <f t="shared" si="2"/>
        <v/>
      </c>
      <c r="S55" s="55" t="str">
        <f t="shared" si="3"/>
        <v/>
      </c>
      <c r="T55" s="55" t="str">
        <f t="shared" si="4"/>
        <v/>
      </c>
      <c r="U55" s="55" t="str">
        <f t="shared" si="5"/>
        <v/>
      </c>
      <c r="V55" s="55" t="str">
        <f t="shared" si="6"/>
        <v/>
      </c>
      <c r="W55" s="55" t="str">
        <f t="shared" si="7"/>
        <v/>
      </c>
      <c r="X55" s="56" t="str">
        <f t="shared" si="10"/>
        <v/>
      </c>
    </row>
    <row r="56" spans="2:25" ht="45" customHeight="1" x14ac:dyDescent="0.3">
      <c r="B56" s="415"/>
      <c r="C56" s="415"/>
      <c r="D56" s="415"/>
      <c r="E56" s="53"/>
      <c r="F56" s="53"/>
      <c r="G56" s="53"/>
      <c r="H56" s="53"/>
      <c r="I56" s="53"/>
      <c r="J56" s="408"/>
      <c r="K56" s="409"/>
      <c r="L56" s="53"/>
      <c r="M56" s="70" t="str">
        <f t="shared" si="8"/>
        <v/>
      </c>
      <c r="N56" s="70" t="str">
        <f t="shared" ref="N56:N58" si="11">IF(M56="","",IF(AND(M56&gt;=0,M56&lt;=85),"Débil",IF(AND(M56&gt;=86,M56&lt;=95),"Moderado",IF(M56&gt;=96,"Fuerte",""))))</f>
        <v/>
      </c>
      <c r="O56" s="54"/>
      <c r="P56" s="70" t="str">
        <f t="shared" si="9"/>
        <v/>
      </c>
      <c r="Q56" s="43" t="str">
        <f t="shared" ref="Q56:Q58" si="12">IF(M56="","",IF(AND(N56="Fuerte",O56="Fuerte"),100,IF(OR(AND(N56="Moderado",O56="Moderado"),AND(N56&lt;&gt;"Débil",O56&lt;&gt;"Débil")),50,IF(OR(N56="Débil",O56="Débil"),0,""))))</f>
        <v/>
      </c>
      <c r="R56" s="55" t="str">
        <f t="shared" si="2"/>
        <v/>
      </c>
      <c r="S56" s="55" t="str">
        <f t="shared" si="3"/>
        <v/>
      </c>
      <c r="T56" s="55" t="str">
        <f t="shared" si="4"/>
        <v/>
      </c>
      <c r="U56" s="55" t="str">
        <f t="shared" si="5"/>
        <v/>
      </c>
      <c r="V56" s="55" t="str">
        <f t="shared" si="6"/>
        <v/>
      </c>
      <c r="W56" s="55" t="str">
        <f t="shared" si="7"/>
        <v/>
      </c>
      <c r="X56" s="56" t="str">
        <f t="shared" si="10"/>
        <v/>
      </c>
    </row>
    <row r="57" spans="2:25" ht="45" customHeight="1" x14ac:dyDescent="0.3">
      <c r="B57" s="415"/>
      <c r="C57" s="415"/>
      <c r="D57" s="415"/>
      <c r="E57" s="53"/>
      <c r="F57" s="53"/>
      <c r="G57" s="53"/>
      <c r="H57" s="53"/>
      <c r="I57" s="53"/>
      <c r="J57" s="408"/>
      <c r="K57" s="409"/>
      <c r="L57" s="53"/>
      <c r="M57" s="70" t="str">
        <f t="shared" si="8"/>
        <v/>
      </c>
      <c r="N57" s="70" t="str">
        <f t="shared" si="11"/>
        <v/>
      </c>
      <c r="O57" s="54"/>
      <c r="P57" s="70" t="str">
        <f t="shared" si="9"/>
        <v/>
      </c>
      <c r="Q57" s="43" t="str">
        <f t="shared" si="12"/>
        <v/>
      </c>
      <c r="R57" s="55" t="str">
        <f t="shared" si="2"/>
        <v/>
      </c>
      <c r="S57" s="55" t="str">
        <f t="shared" si="3"/>
        <v/>
      </c>
      <c r="T57" s="55" t="str">
        <f t="shared" si="4"/>
        <v/>
      </c>
      <c r="U57" s="55" t="str">
        <f t="shared" si="5"/>
        <v/>
      </c>
      <c r="V57" s="55" t="str">
        <f t="shared" si="6"/>
        <v/>
      </c>
      <c r="W57" s="55" t="str">
        <f t="shared" si="7"/>
        <v/>
      </c>
      <c r="X57" s="56" t="str">
        <f t="shared" si="10"/>
        <v/>
      </c>
    </row>
    <row r="58" spans="2:25" ht="45" customHeight="1" x14ac:dyDescent="0.3">
      <c r="B58" s="415"/>
      <c r="C58" s="415"/>
      <c r="D58" s="415"/>
      <c r="E58" s="53"/>
      <c r="F58" s="53"/>
      <c r="G58" s="53"/>
      <c r="H58" s="53"/>
      <c r="I58" s="53"/>
      <c r="J58" s="408"/>
      <c r="K58" s="409"/>
      <c r="L58" s="53"/>
      <c r="M58" s="70" t="str">
        <f t="shared" si="8"/>
        <v/>
      </c>
      <c r="N58" s="70" t="str">
        <f t="shared" si="11"/>
        <v/>
      </c>
      <c r="O58" s="54"/>
      <c r="P58" s="70" t="str">
        <f t="shared" si="9"/>
        <v/>
      </c>
      <c r="Q58" s="43" t="str">
        <f t="shared" si="12"/>
        <v/>
      </c>
      <c r="R58" s="55" t="str">
        <f t="shared" si="2"/>
        <v/>
      </c>
      <c r="S58" s="55" t="str">
        <f t="shared" si="3"/>
        <v/>
      </c>
      <c r="T58" s="55" t="str">
        <f t="shared" si="4"/>
        <v/>
      </c>
      <c r="U58" s="55" t="str">
        <f t="shared" si="5"/>
        <v/>
      </c>
      <c r="V58" s="55" t="str">
        <f t="shared" si="6"/>
        <v/>
      </c>
      <c r="W58" s="55" t="str">
        <f t="shared" si="7"/>
        <v/>
      </c>
      <c r="X58" s="56" t="str">
        <f t="shared" si="10"/>
        <v/>
      </c>
    </row>
    <row r="59" spans="2:25" x14ac:dyDescent="0.3">
      <c r="B59" s="28"/>
      <c r="C59" s="28"/>
      <c r="D59" s="28"/>
      <c r="R59" s="57"/>
      <c r="S59" s="57"/>
      <c r="T59" s="57"/>
      <c r="U59" s="57"/>
      <c r="V59" s="57"/>
      <c r="W59" s="50"/>
      <c r="X59" s="50"/>
    </row>
    <row r="60" spans="2:25" ht="25.8" x14ac:dyDescent="0.3">
      <c r="B60" s="375" t="s">
        <v>393</v>
      </c>
      <c r="C60" s="375"/>
      <c r="D60" s="375"/>
      <c r="E60" s="375"/>
      <c r="F60" s="375"/>
      <c r="G60" s="424" t="str">
        <f>IFERROR(IF(Q52=100,"Fuerte",IF(AND(Q52&lt;100,Q52&gt;=50),"Moderado",IF(Q52&lt;50,"Débil",""))),"")</f>
        <v/>
      </c>
      <c r="H60" s="424"/>
      <c r="I60" s="424"/>
      <c r="J60" s="424"/>
      <c r="K60" s="424"/>
      <c r="L60" s="424"/>
      <c r="M60" s="424"/>
      <c r="N60" s="424"/>
      <c r="O60" s="424"/>
      <c r="P60" s="424"/>
      <c r="R60" s="57"/>
      <c r="S60" s="57"/>
      <c r="T60" s="57"/>
      <c r="U60" s="57"/>
      <c r="V60" s="57"/>
      <c r="W60" s="50"/>
      <c r="X60" s="50"/>
    </row>
    <row r="61" spans="2:25" x14ac:dyDescent="0.3">
      <c r="B61" s="28"/>
      <c r="C61" s="28"/>
      <c r="D61" s="28"/>
      <c r="R61" s="57"/>
      <c r="S61" s="57"/>
      <c r="T61" s="57"/>
      <c r="U61" s="57"/>
      <c r="V61" s="57"/>
      <c r="W61" s="50"/>
      <c r="X61" s="50"/>
    </row>
    <row r="62" spans="2:25" ht="28.8" x14ac:dyDescent="0.3">
      <c r="B62" s="422" t="s">
        <v>394</v>
      </c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2"/>
      <c r="N62" s="422"/>
      <c r="O62" s="422"/>
      <c r="P62" s="422"/>
      <c r="Q62" s="40"/>
      <c r="R62" s="40"/>
      <c r="S62" s="40"/>
      <c r="T62" s="40"/>
      <c r="U62" s="40"/>
      <c r="V62" s="40"/>
    </row>
    <row r="63" spans="2:25" ht="5.25" customHeight="1" x14ac:dyDescent="0.3"/>
    <row r="64" spans="2:25" ht="21" x14ac:dyDescent="0.4">
      <c r="B64" s="58" t="s">
        <v>188</v>
      </c>
      <c r="C64" s="419" t="s">
        <v>395</v>
      </c>
      <c r="D64" s="419"/>
      <c r="E64" s="419"/>
      <c r="F64" s="419"/>
      <c r="G64" s="419"/>
      <c r="H64" s="419"/>
      <c r="I64" s="58" t="s">
        <v>396</v>
      </c>
      <c r="J64" s="58" t="s">
        <v>397</v>
      </c>
      <c r="K64" s="416" t="s">
        <v>383</v>
      </c>
      <c r="L64" s="417"/>
      <c r="M64" s="418"/>
      <c r="N64" s="419" t="s">
        <v>162</v>
      </c>
      <c r="O64" s="419"/>
      <c r="P64" s="419"/>
      <c r="Q64" s="36"/>
      <c r="R64" s="36"/>
      <c r="S64" s="36"/>
      <c r="T64" s="36"/>
      <c r="U64" s="36"/>
      <c r="V64" s="36"/>
    </row>
    <row r="65" spans="2:22" ht="30" customHeight="1" x14ac:dyDescent="0.3">
      <c r="B65" s="59"/>
      <c r="C65" s="398"/>
      <c r="D65" s="398"/>
      <c r="E65" s="398"/>
      <c r="F65" s="398"/>
      <c r="G65" s="398"/>
      <c r="H65" s="398"/>
      <c r="I65" s="60"/>
      <c r="J65" s="60"/>
      <c r="K65" s="399"/>
      <c r="L65" s="400"/>
      <c r="M65" s="401"/>
      <c r="N65" s="402"/>
      <c r="O65" s="402"/>
      <c r="P65" s="402"/>
      <c r="Q65" s="61"/>
      <c r="R65" s="28"/>
      <c r="S65" s="28"/>
      <c r="T65" s="28"/>
      <c r="U65" s="28"/>
      <c r="V65" s="28"/>
    </row>
    <row r="66" spans="2:22" ht="30" customHeight="1" x14ac:dyDescent="0.3">
      <c r="B66" s="59"/>
      <c r="C66" s="398"/>
      <c r="D66" s="398"/>
      <c r="E66" s="398"/>
      <c r="F66" s="398"/>
      <c r="G66" s="398"/>
      <c r="H66" s="398"/>
      <c r="I66" s="60"/>
      <c r="J66" s="60"/>
      <c r="K66" s="399"/>
      <c r="L66" s="400"/>
      <c r="M66" s="401"/>
      <c r="N66" s="402"/>
      <c r="O66" s="402"/>
      <c r="P66" s="402"/>
      <c r="Q66" s="62"/>
      <c r="R66" s="28"/>
      <c r="S66" s="28"/>
      <c r="T66" s="28"/>
      <c r="U66" s="28"/>
      <c r="V66" s="28"/>
    </row>
    <row r="67" spans="2:22" ht="30" customHeight="1" x14ac:dyDescent="0.3">
      <c r="B67" s="59"/>
      <c r="C67" s="398"/>
      <c r="D67" s="398"/>
      <c r="E67" s="398"/>
      <c r="F67" s="398"/>
      <c r="G67" s="398"/>
      <c r="H67" s="398"/>
      <c r="I67" s="60"/>
      <c r="J67" s="60"/>
      <c r="K67" s="399"/>
      <c r="L67" s="400"/>
      <c r="M67" s="401"/>
      <c r="N67" s="402"/>
      <c r="O67" s="402"/>
      <c r="P67" s="402"/>
      <c r="Q67" s="62"/>
      <c r="R67" s="28"/>
      <c r="S67" s="28"/>
      <c r="T67" s="28"/>
      <c r="U67" s="28"/>
      <c r="V67" s="28"/>
    </row>
    <row r="68" spans="2:22" ht="30" customHeight="1" x14ac:dyDescent="0.3">
      <c r="B68" s="59"/>
      <c r="C68" s="398"/>
      <c r="D68" s="398"/>
      <c r="E68" s="398"/>
      <c r="F68" s="398"/>
      <c r="G68" s="398"/>
      <c r="H68" s="398"/>
      <c r="I68" s="60"/>
      <c r="J68" s="60"/>
      <c r="K68" s="399"/>
      <c r="L68" s="400"/>
      <c r="M68" s="401"/>
      <c r="N68" s="402"/>
      <c r="O68" s="402"/>
      <c r="P68" s="402"/>
      <c r="Q68" s="62"/>
      <c r="R68" s="28"/>
      <c r="S68" s="28"/>
      <c r="T68" s="28"/>
      <c r="U68" s="28"/>
      <c r="V68" s="28"/>
    </row>
    <row r="69" spans="2:22" ht="30" customHeight="1" x14ac:dyDescent="0.3">
      <c r="B69" s="59"/>
      <c r="C69" s="398"/>
      <c r="D69" s="398"/>
      <c r="E69" s="398"/>
      <c r="F69" s="398"/>
      <c r="G69" s="398"/>
      <c r="H69" s="398"/>
      <c r="I69" s="60"/>
      <c r="J69" s="60"/>
      <c r="K69" s="399"/>
      <c r="L69" s="400"/>
      <c r="M69" s="401"/>
      <c r="N69" s="402"/>
      <c r="O69" s="402"/>
      <c r="P69" s="402"/>
      <c r="Q69" s="62"/>
      <c r="R69" s="28"/>
      <c r="S69" s="28"/>
      <c r="T69" s="28"/>
      <c r="U69" s="28"/>
      <c r="V69" s="28"/>
    </row>
    <row r="70" spans="2:22" ht="30" customHeight="1" x14ac:dyDescent="0.3">
      <c r="B70" s="59"/>
      <c r="C70" s="398"/>
      <c r="D70" s="398"/>
      <c r="E70" s="398"/>
      <c r="F70" s="398"/>
      <c r="G70" s="398"/>
      <c r="H70" s="398"/>
      <c r="I70" s="60"/>
      <c r="J70" s="60"/>
      <c r="K70" s="399"/>
      <c r="L70" s="400"/>
      <c r="M70" s="401"/>
      <c r="N70" s="402"/>
      <c r="O70" s="402"/>
      <c r="P70" s="402"/>
      <c r="Q70" s="62"/>
      <c r="R70" s="28"/>
      <c r="S70" s="28"/>
      <c r="T70" s="28"/>
      <c r="U70" s="28"/>
      <c r="V70" s="28"/>
    </row>
    <row r="71" spans="2:22" ht="30" customHeight="1" x14ac:dyDescent="0.3">
      <c r="B71" s="59"/>
      <c r="C71" s="398"/>
      <c r="D71" s="398"/>
      <c r="E71" s="398"/>
      <c r="F71" s="398"/>
      <c r="G71" s="398"/>
      <c r="H71" s="398"/>
      <c r="I71" s="60"/>
      <c r="J71" s="60"/>
      <c r="K71" s="399"/>
      <c r="L71" s="400"/>
      <c r="M71" s="401"/>
      <c r="N71" s="402"/>
      <c r="O71" s="402"/>
      <c r="P71" s="402"/>
      <c r="Q71" s="62"/>
      <c r="R71" s="28"/>
      <c r="S71" s="28"/>
      <c r="T71" s="28"/>
      <c r="U71" s="28"/>
      <c r="V71" s="28"/>
    </row>
    <row r="72" spans="2:22" ht="30" customHeight="1" x14ac:dyDescent="0.3">
      <c r="B72" s="59"/>
      <c r="C72" s="398"/>
      <c r="D72" s="398"/>
      <c r="E72" s="398"/>
      <c r="F72" s="398"/>
      <c r="G72" s="398"/>
      <c r="H72" s="398"/>
      <c r="I72" s="60"/>
      <c r="J72" s="60"/>
      <c r="K72" s="399"/>
      <c r="L72" s="400"/>
      <c r="M72" s="401"/>
      <c r="N72" s="402"/>
      <c r="O72" s="402"/>
      <c r="P72" s="402"/>
      <c r="Q72" s="62"/>
      <c r="R72" s="28"/>
      <c r="S72" s="28"/>
      <c r="T72" s="28"/>
      <c r="U72" s="28"/>
      <c r="V72" s="28"/>
    </row>
    <row r="73" spans="2:22" ht="30" customHeight="1" x14ac:dyDescent="0.3">
      <c r="B73" s="59"/>
      <c r="C73" s="398"/>
      <c r="D73" s="398"/>
      <c r="E73" s="398"/>
      <c r="F73" s="398"/>
      <c r="G73" s="398"/>
      <c r="H73" s="398"/>
      <c r="I73" s="60"/>
      <c r="J73" s="60"/>
      <c r="K73" s="399"/>
      <c r="L73" s="400"/>
      <c r="M73" s="401"/>
      <c r="N73" s="402"/>
      <c r="O73" s="402"/>
      <c r="P73" s="402"/>
      <c r="Q73" s="62"/>
      <c r="R73" s="28"/>
      <c r="S73" s="28"/>
      <c r="T73" s="28"/>
      <c r="U73" s="28"/>
      <c r="V73" s="28"/>
    </row>
    <row r="74" spans="2:22" ht="30" customHeight="1" x14ac:dyDescent="0.3">
      <c r="B74" s="59"/>
      <c r="C74" s="398"/>
      <c r="D74" s="398"/>
      <c r="E74" s="398"/>
      <c r="F74" s="398"/>
      <c r="G74" s="398"/>
      <c r="H74" s="398"/>
      <c r="I74" s="60"/>
      <c r="J74" s="60"/>
      <c r="K74" s="399"/>
      <c r="L74" s="400"/>
      <c r="M74" s="401"/>
      <c r="N74" s="402"/>
      <c r="O74" s="402"/>
      <c r="P74" s="402"/>
      <c r="Q74" s="62"/>
      <c r="R74" s="28"/>
      <c r="S74" s="28"/>
      <c r="T74" s="28"/>
      <c r="U74" s="28"/>
      <c r="V74" s="28"/>
    </row>
    <row r="75" spans="2:22" ht="30" customHeight="1" x14ac:dyDescent="0.3">
      <c r="B75" s="59"/>
      <c r="C75" s="398"/>
      <c r="D75" s="398"/>
      <c r="E75" s="398"/>
      <c r="F75" s="398"/>
      <c r="G75" s="398"/>
      <c r="H75" s="398"/>
      <c r="I75" s="60"/>
      <c r="J75" s="60"/>
      <c r="K75" s="399"/>
      <c r="L75" s="400"/>
      <c r="M75" s="401"/>
      <c r="N75" s="402"/>
      <c r="O75" s="402"/>
      <c r="P75" s="402"/>
      <c r="Q75" s="62"/>
      <c r="R75" s="28"/>
      <c r="S75" s="28"/>
      <c r="T75" s="28"/>
      <c r="U75" s="28"/>
      <c r="V75" s="28"/>
    </row>
    <row r="76" spans="2:22" ht="30" customHeight="1" x14ac:dyDescent="0.3">
      <c r="B76" s="59"/>
      <c r="C76" s="398"/>
      <c r="D76" s="398"/>
      <c r="E76" s="398"/>
      <c r="F76" s="398"/>
      <c r="G76" s="398"/>
      <c r="H76" s="398"/>
      <c r="I76" s="60"/>
      <c r="J76" s="60"/>
      <c r="K76" s="399"/>
      <c r="L76" s="400"/>
      <c r="M76" s="401"/>
      <c r="N76" s="402"/>
      <c r="O76" s="402"/>
      <c r="P76" s="402"/>
      <c r="Q76" s="62"/>
      <c r="R76" s="28"/>
      <c r="S76" s="28"/>
      <c r="T76" s="28"/>
      <c r="U76" s="28"/>
      <c r="V76" s="28"/>
    </row>
    <row r="77" spans="2:22" ht="30" customHeight="1" x14ac:dyDescent="0.3">
      <c r="B77" s="59"/>
      <c r="C77" s="398"/>
      <c r="D77" s="398"/>
      <c r="E77" s="398"/>
      <c r="F77" s="398"/>
      <c r="G77" s="398"/>
      <c r="H77" s="398"/>
      <c r="I77" s="60"/>
      <c r="J77" s="60"/>
      <c r="K77" s="399"/>
      <c r="L77" s="400"/>
      <c r="M77" s="401"/>
      <c r="N77" s="402"/>
      <c r="O77" s="402"/>
      <c r="P77" s="402"/>
      <c r="Q77" s="62"/>
      <c r="R77" s="28"/>
      <c r="S77" s="28"/>
      <c r="T77" s="28"/>
      <c r="U77" s="28"/>
      <c r="V77" s="28"/>
    </row>
    <row r="78" spans="2:22" ht="30" customHeight="1" x14ac:dyDescent="0.3">
      <c r="B78" s="59"/>
      <c r="C78" s="398"/>
      <c r="D78" s="398"/>
      <c r="E78" s="398"/>
      <c r="F78" s="398"/>
      <c r="G78" s="398"/>
      <c r="H78" s="398"/>
      <c r="I78" s="60"/>
      <c r="J78" s="60"/>
      <c r="K78" s="399"/>
      <c r="L78" s="400"/>
      <c r="M78" s="401"/>
      <c r="N78" s="402"/>
      <c r="O78" s="402"/>
      <c r="P78" s="402"/>
      <c r="Q78" s="62"/>
      <c r="R78" s="28"/>
      <c r="S78" s="28"/>
      <c r="T78" s="28"/>
      <c r="U78" s="28"/>
      <c r="V78" s="28"/>
    </row>
    <row r="79" spans="2:22" ht="30" customHeight="1" x14ac:dyDescent="0.3">
      <c r="B79" s="59"/>
      <c r="C79" s="398"/>
      <c r="D79" s="398"/>
      <c r="E79" s="398"/>
      <c r="F79" s="398"/>
      <c r="G79" s="398"/>
      <c r="H79" s="398"/>
      <c r="I79" s="60"/>
      <c r="J79" s="60"/>
      <c r="K79" s="399"/>
      <c r="L79" s="400"/>
      <c r="M79" s="401"/>
      <c r="N79" s="402"/>
      <c r="O79" s="402"/>
      <c r="P79" s="402"/>
      <c r="Q79" s="62"/>
      <c r="R79" s="28"/>
      <c r="S79" s="28"/>
      <c r="T79" s="28"/>
      <c r="U79" s="28"/>
      <c r="V79" s="28"/>
    </row>
    <row r="81" spans="1:26" ht="28.8" x14ac:dyDescent="0.3">
      <c r="B81" s="422" t="s">
        <v>344</v>
      </c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422"/>
      <c r="P81" s="422"/>
      <c r="Q81" s="40"/>
      <c r="R81" s="40"/>
      <c r="S81" s="40"/>
      <c r="T81" s="40"/>
      <c r="U81" s="40"/>
      <c r="V81" s="40"/>
    </row>
    <row r="83" spans="1:26" ht="46.5" customHeight="1" x14ac:dyDescent="0.3">
      <c r="D83" s="420" t="s">
        <v>398</v>
      </c>
      <c r="E83" s="421"/>
      <c r="F83" s="430" t="str">
        <f>IFERROR(VLOOKUP(Q23,Hoja2!B45:C59,2,FALSE),"")</f>
        <v/>
      </c>
      <c r="G83" s="430"/>
      <c r="H83" s="63"/>
      <c r="J83" s="427" t="s">
        <v>399</v>
      </c>
      <c r="K83" s="427"/>
      <c r="L83" s="430" t="str">
        <f>IFERROR(VLOOKUP(S52,Hoja2!B45:C59,2,FALSE),"")</f>
        <v/>
      </c>
      <c r="M83" s="430"/>
      <c r="N83" s="430"/>
      <c r="O83" s="64"/>
      <c r="P83" s="64"/>
      <c r="Q83" s="64"/>
      <c r="R83" s="63"/>
      <c r="S83" s="63"/>
      <c r="T83" s="63"/>
      <c r="U83" s="63"/>
      <c r="V83" s="63"/>
    </row>
    <row r="85" spans="1:26" ht="25.8" x14ac:dyDescent="0.3">
      <c r="B85" s="24"/>
      <c r="C85" s="24"/>
      <c r="H85" s="431" t="s">
        <v>345</v>
      </c>
      <c r="I85" s="431"/>
      <c r="J85" s="431"/>
    </row>
    <row r="86" spans="1:26" ht="21" x14ac:dyDescent="0.3">
      <c r="B86" s="24"/>
      <c r="C86" s="24"/>
      <c r="F86" s="39"/>
      <c r="G86" s="39"/>
      <c r="H86" s="65" t="s">
        <v>39</v>
      </c>
      <c r="I86" s="65" t="s">
        <v>346</v>
      </c>
      <c r="J86" s="65" t="s">
        <v>45</v>
      </c>
    </row>
    <row r="87" spans="1:26" ht="5.25" customHeight="1" x14ac:dyDescent="0.3">
      <c r="B87" s="24"/>
      <c r="C87" s="24"/>
      <c r="F87" s="39"/>
      <c r="G87" s="39"/>
      <c r="H87" s="39"/>
      <c r="I87" s="39"/>
      <c r="J87" s="39"/>
    </row>
    <row r="88" spans="1:26" ht="37.5" customHeight="1" x14ac:dyDescent="0.3">
      <c r="F88" s="428" t="s">
        <v>17</v>
      </c>
      <c r="G88" s="65" t="s">
        <v>190</v>
      </c>
      <c r="H88" s="71" t="str">
        <f>IFERROR(CONCATENATE(IF($Q$23="53","Inherente","")," ",IF($S$52="53","Residual","")),"")</f>
        <v/>
      </c>
      <c r="I88" s="72" t="str">
        <f>IFERROR(CONCATENATE(IF($Q$23="54","Inherente","")," ",IF($S$52="54","Residual","")),"")</f>
        <v/>
      </c>
      <c r="J88" s="72" t="str">
        <f>IFERROR(CONCATENATE(IF($Q$23="55","Inherente","")," ",IF($S$52="55","Residual","")),"")</f>
        <v/>
      </c>
      <c r="R88" s="40"/>
      <c r="S88" s="40"/>
      <c r="T88" s="40"/>
      <c r="U88" s="40"/>
      <c r="V88" s="40"/>
    </row>
    <row r="89" spans="1:26" ht="37.5" customHeight="1" x14ac:dyDescent="0.3">
      <c r="F89" s="428"/>
      <c r="G89" s="65" t="s">
        <v>196</v>
      </c>
      <c r="H89" s="73" t="str">
        <f>IFERROR(CONCATENATE(IF($Q$23="43","Inherente","")," ",IF($S$52="43","Residual","")),"")</f>
        <v/>
      </c>
      <c r="I89" s="72" t="str">
        <f>IFERROR(CONCATENATE(IF($Q$23="44","Inherente","")," ",IF($S$52="44","Residual","")),"")</f>
        <v/>
      </c>
      <c r="J89" s="72" t="str">
        <f>IFERROR(CONCATENATE(IF($Q$23="45","Inherente","")," ",IF($S$52="45","Residual","")),"")</f>
        <v/>
      </c>
      <c r="L89" s="66" t="s">
        <v>194</v>
      </c>
      <c r="R89" s="21"/>
      <c r="S89" s="21"/>
      <c r="T89" s="21"/>
      <c r="U89" s="21"/>
      <c r="V89" s="21"/>
    </row>
    <row r="90" spans="1:26" ht="37.5" customHeight="1" x14ac:dyDescent="0.3">
      <c r="F90" s="428"/>
      <c r="G90" s="65" t="s">
        <v>200</v>
      </c>
      <c r="H90" s="73" t="str">
        <f>IFERROR(CONCATENATE(IF($Q$23="33","Inherente","")," ",IF($S$52="33","Residual","")),"")</f>
        <v/>
      </c>
      <c r="I90" s="72" t="str">
        <f>IFERROR(CONCATENATE(IF($Q$23="34","Inherente","")," ",IF($S$52="34","Residual","")),"")</f>
        <v/>
      </c>
      <c r="J90" s="72" t="str">
        <f>IFERROR(CONCATENATE(IF($Q$23="35","Inherente","")," ",IF($S$52="35","Residual","")),"")</f>
        <v/>
      </c>
      <c r="L90" s="67" t="s">
        <v>193</v>
      </c>
      <c r="R90" s="21"/>
      <c r="S90" s="21"/>
      <c r="T90" s="21"/>
      <c r="U90" s="21"/>
      <c r="V90" s="21"/>
    </row>
    <row r="91" spans="1:26" ht="37.5" customHeight="1" x14ac:dyDescent="0.3">
      <c r="F91" s="428"/>
      <c r="G91" s="65" t="s">
        <v>204</v>
      </c>
      <c r="H91" s="74" t="str">
        <f>IFERROR(CONCATENATE(IF($Q$23="23","Inherente","")," ",IF($S$52="23","Residual","")),"")</f>
        <v/>
      </c>
      <c r="I91" s="73" t="str">
        <f>IFERROR(CONCATENATE(IF($Q$23="24","Inherente","")," ",IF($S$52="24","Residual","")),"")</f>
        <v/>
      </c>
      <c r="J91" s="72" t="str">
        <f>IFERROR(CONCATENATE(IF($Q$23="25","Inherente","")," ",IF($S$52="25","Residual","")),"")</f>
        <v/>
      </c>
      <c r="L91" s="68" t="s">
        <v>39</v>
      </c>
      <c r="O91" s="21"/>
      <c r="P91" s="21"/>
      <c r="Q91" s="21"/>
      <c r="R91" s="21"/>
      <c r="S91" s="21"/>
      <c r="T91" s="21"/>
      <c r="U91" s="21"/>
      <c r="V91" s="21"/>
    </row>
    <row r="92" spans="1:26" ht="37.5" customHeight="1" x14ac:dyDescent="0.3">
      <c r="F92" s="428"/>
      <c r="G92" s="65" t="s">
        <v>208</v>
      </c>
      <c r="H92" s="74" t="str">
        <f>IFERROR(CONCATENATE(IF($Q$23="13","Inherente","")," ",IF($S$52="13","Residual","")),"")</f>
        <v/>
      </c>
      <c r="I92" s="73" t="str">
        <f>IFERROR(CONCATENATE(IF($Q$23="14","Inherente","")," ",IF($S$52="14","Residual","")),"")</f>
        <v/>
      </c>
      <c r="J92" s="72" t="str">
        <f>IFERROR(CONCATENATE(IF($Q$23="15","Inherente","")," ",IF($S$52="15","Residual","")),"")</f>
        <v/>
      </c>
    </row>
    <row r="93" spans="1:26" s="69" customForma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</sheetData>
  <sheetProtection selectLockedCells="1"/>
  <mergeCells count="126">
    <mergeCell ref="H85:J85"/>
    <mergeCell ref="B2:P2"/>
    <mergeCell ref="C17:H17"/>
    <mergeCell ref="B7:P7"/>
    <mergeCell ref="E40:L40"/>
    <mergeCell ref="E41:L41"/>
    <mergeCell ref="E42:L42"/>
    <mergeCell ref="E43:L43"/>
    <mergeCell ref="E44:L44"/>
    <mergeCell ref="E45:L45"/>
    <mergeCell ref="E34:L34"/>
    <mergeCell ref="E35:L35"/>
    <mergeCell ref="E36:L36"/>
    <mergeCell ref="E37:L37"/>
    <mergeCell ref="E38:L38"/>
    <mergeCell ref="E39:L39"/>
    <mergeCell ref="E28:L28"/>
    <mergeCell ref="E29:L29"/>
    <mergeCell ref="E30:L30"/>
    <mergeCell ref="E31:L31"/>
    <mergeCell ref="E32:L32"/>
    <mergeCell ref="E33:L33"/>
    <mergeCell ref="C68:H68"/>
    <mergeCell ref="K68:M68"/>
    <mergeCell ref="K69:M69"/>
    <mergeCell ref="K70:M70"/>
    <mergeCell ref="K71:M71"/>
    <mergeCell ref="K72:M72"/>
    <mergeCell ref="K78:M78"/>
    <mergeCell ref="J83:K83"/>
    <mergeCell ref="N68:P68"/>
    <mergeCell ref="F88:F92"/>
    <mergeCell ref="I17:O17"/>
    <mergeCell ref="M40:N40"/>
    <mergeCell ref="N64:P64"/>
    <mergeCell ref="N65:P65"/>
    <mergeCell ref="M43:N43"/>
    <mergeCell ref="M44:N44"/>
    <mergeCell ref="K79:M79"/>
    <mergeCell ref="L83:N83"/>
    <mergeCell ref="F83:G83"/>
    <mergeCell ref="M45:N45"/>
    <mergeCell ref="M46:N46"/>
    <mergeCell ref="C70:H70"/>
    <mergeCell ref="C71:H71"/>
    <mergeCell ref="C72:H72"/>
    <mergeCell ref="C78:H78"/>
    <mergeCell ref="C79:H79"/>
    <mergeCell ref="D83:E83"/>
    <mergeCell ref="B62:P62"/>
    <mergeCell ref="B81:P81"/>
    <mergeCell ref="M11:N11"/>
    <mergeCell ref="B21:P21"/>
    <mergeCell ref="B25:P25"/>
    <mergeCell ref="M28:N28"/>
    <mergeCell ref="B60:F60"/>
    <mergeCell ref="G60:P60"/>
    <mergeCell ref="B48:P48"/>
    <mergeCell ref="B23:P23"/>
    <mergeCell ref="B50:P50"/>
    <mergeCell ref="B19:P19"/>
    <mergeCell ref="M29:N29"/>
    <mergeCell ref="M30:N30"/>
    <mergeCell ref="M31:N31"/>
    <mergeCell ref="M32:N32"/>
    <mergeCell ref="J54:K54"/>
    <mergeCell ref="J55:K55"/>
    <mergeCell ref="M52:N52"/>
    <mergeCell ref="M41:N41"/>
    <mergeCell ref="M42:N42"/>
    <mergeCell ref="E46:L46"/>
    <mergeCell ref="M39:N39"/>
    <mergeCell ref="N66:P66"/>
    <mergeCell ref="N67:P67"/>
    <mergeCell ref="N70:P70"/>
    <mergeCell ref="N71:P71"/>
    <mergeCell ref="N72:P72"/>
    <mergeCell ref="N78:P78"/>
    <mergeCell ref="N79:P79"/>
    <mergeCell ref="B55:D55"/>
    <mergeCell ref="B56:D56"/>
    <mergeCell ref="B57:D57"/>
    <mergeCell ref="B58:D58"/>
    <mergeCell ref="C73:H73"/>
    <mergeCell ref="K73:M73"/>
    <mergeCell ref="N73:P73"/>
    <mergeCell ref="C69:H69"/>
    <mergeCell ref="N69:P69"/>
    <mergeCell ref="C66:H66"/>
    <mergeCell ref="C67:H67"/>
    <mergeCell ref="K64:M64"/>
    <mergeCell ref="K65:M65"/>
    <mergeCell ref="K66:M66"/>
    <mergeCell ref="K67:M67"/>
    <mergeCell ref="C64:H64"/>
    <mergeCell ref="C65:H65"/>
    <mergeCell ref="B53:D53"/>
    <mergeCell ref="B52:D52"/>
    <mergeCell ref="J52:K52"/>
    <mergeCell ref="J53:K53"/>
    <mergeCell ref="J56:K56"/>
    <mergeCell ref="J57:K57"/>
    <mergeCell ref="J58:K58"/>
    <mergeCell ref="C4:G4"/>
    <mergeCell ref="J4:O4"/>
    <mergeCell ref="M35:N35"/>
    <mergeCell ref="M36:N36"/>
    <mergeCell ref="M37:N37"/>
    <mergeCell ref="M38:N38"/>
    <mergeCell ref="M33:N33"/>
    <mergeCell ref="M34:N34"/>
    <mergeCell ref="E27:L27"/>
    <mergeCell ref="M27:N27"/>
    <mergeCell ref="B54:D54"/>
    <mergeCell ref="C77:H77"/>
    <mergeCell ref="K77:M77"/>
    <mergeCell ref="N77:P77"/>
    <mergeCell ref="C74:H74"/>
    <mergeCell ref="K74:M74"/>
    <mergeCell ref="N74:P74"/>
    <mergeCell ref="C75:H75"/>
    <mergeCell ref="K75:M75"/>
    <mergeCell ref="N75:P75"/>
    <mergeCell ref="C76:H76"/>
    <mergeCell ref="K76:M76"/>
    <mergeCell ref="N76:P76"/>
  </mergeCells>
  <conditionalFormatting sqref="B23">
    <cfRule type="expression" dxfId="18" priority="40">
      <formula>$B$23="Casi Seguro"</formula>
    </cfRule>
    <cfRule type="expression" dxfId="17" priority="41">
      <formula>$B$23="Probable"</formula>
    </cfRule>
    <cfRule type="expression" dxfId="16" priority="42">
      <formula>$B$23="Posible"</formula>
    </cfRule>
    <cfRule type="expression" dxfId="15" priority="43">
      <formula>$B$23="Improbable"</formula>
    </cfRule>
    <cfRule type="expression" dxfId="14" priority="44">
      <formula>$B$23="Rara Vez"</formula>
    </cfRule>
  </conditionalFormatting>
  <conditionalFormatting sqref="B48">
    <cfRule type="expression" dxfId="13" priority="5">
      <formula>$B$48="Catastrófico"</formula>
    </cfRule>
    <cfRule type="expression" dxfId="12" priority="6">
      <formula>$B$48="Mayor"</formula>
    </cfRule>
    <cfRule type="expression" dxfId="11" priority="7">
      <formula>$B$48="Moderado"</formula>
    </cfRule>
  </conditionalFormatting>
  <conditionalFormatting sqref="E28:E46">
    <cfRule type="expression" dxfId="10" priority="1">
      <formula>M28="SI"</formula>
    </cfRule>
  </conditionalFormatting>
  <conditionalFormatting sqref="F83">
    <cfRule type="expression" dxfId="9" priority="45">
      <formula>$F$83="Extremo"</formula>
    </cfRule>
    <cfRule type="expression" dxfId="8" priority="46">
      <formula>$F$83="Alto"</formula>
    </cfRule>
    <cfRule type="expression" dxfId="7" priority="47">
      <formula>$F$83="Moderado"</formula>
    </cfRule>
    <cfRule type="expression" dxfId="6" priority="48">
      <formula>$F$83="Bajo"</formula>
    </cfRule>
  </conditionalFormatting>
  <conditionalFormatting sqref="L83">
    <cfRule type="expression" dxfId="5" priority="21">
      <formula>$L$83="Extremo"</formula>
    </cfRule>
    <cfRule type="expression" dxfId="4" priority="22">
      <formula>$L$83="Alto"</formula>
    </cfRule>
    <cfRule type="expression" dxfId="3" priority="23">
      <formula>$L$83="Moderado"</formula>
    </cfRule>
    <cfRule type="expression" dxfId="2" priority="24">
      <formula>$L$83="Bajo"</formula>
    </cfRule>
  </conditionalFormatting>
  <conditionalFormatting sqref="M28:M46">
    <cfRule type="expression" dxfId="1" priority="2">
      <formula>AB28="SI"</formula>
    </cfRule>
    <cfRule type="expression" dxfId="0" priority="3">
      <formula>AC28="SI"</formula>
    </cfRule>
  </conditionalFormatting>
  <dataValidations count="12">
    <dataValidation type="list" allowBlank="1" showInputMessage="1" showErrorMessage="1" sqref="B23" xr:uid="{00000000-0002-0000-0100-000000000000}">
      <formula1>"Rara Vez,Improbable,Posible,Probable,Casi Seguro"</formula1>
    </dataValidation>
    <dataValidation type="list" allowBlank="1" showInputMessage="1" showErrorMessage="1" sqref="M28:M46" xr:uid="{00000000-0002-0000-0100-000001000000}">
      <formula1>"SI,NO"</formula1>
    </dataValidation>
    <dataValidation type="list" allowBlank="1" showInputMessage="1" showErrorMessage="1" sqref="E53:E58" xr:uid="{00000000-0002-0000-0100-000002000000}">
      <formula1>"Asignado,No Asignado"</formula1>
    </dataValidation>
    <dataValidation type="list" allowBlank="1" showInputMessage="1" showErrorMessage="1" sqref="F53:F58" xr:uid="{00000000-0002-0000-0100-000003000000}">
      <formula1>"Adecuado,Inadecuado"</formula1>
    </dataValidation>
    <dataValidation type="list" allowBlank="1" showInputMessage="1" showErrorMessage="1" sqref="G53:G58" xr:uid="{00000000-0002-0000-0100-000004000000}">
      <formula1>"Oportuna,Inoportuna"</formula1>
    </dataValidation>
    <dataValidation type="list" allowBlank="1" showInputMessage="1" showErrorMessage="1" sqref="H53:H58" xr:uid="{00000000-0002-0000-0100-000005000000}">
      <formula1>"Prevenir,Detectar,No es un Control"</formula1>
    </dataValidation>
    <dataValidation type="list" allowBlank="1" showInputMessage="1" showErrorMessage="1" sqref="I53:I58" xr:uid="{00000000-0002-0000-0100-000006000000}">
      <formula1>"Confiable,No Confiable"</formula1>
    </dataValidation>
    <dataValidation type="list" allowBlank="1" showInputMessage="1" showErrorMessage="1" sqref="L53:L58" xr:uid="{00000000-0002-0000-0100-000007000000}">
      <formula1>"Completa,Incompleta,No Existe"</formula1>
    </dataValidation>
    <dataValidation type="list" allowBlank="1" showInputMessage="1" showErrorMessage="1" sqref="J53:K58" xr:uid="{00000000-0002-0000-0100-000008000000}">
      <formula1>"Se identifica y se gestionan para subsanar la observación,No se identifica y se gestionan para subsanar la observación"</formula1>
    </dataValidation>
    <dataValidation type="list" allowBlank="1" showInputMessage="1" showErrorMessage="1" sqref="L53:L58" xr:uid="{00000000-0002-0000-0100-000009000000}">
      <formula1>"Completa,Incompleta,NoExiste"</formula1>
    </dataValidation>
    <dataValidation type="list" allowBlank="1" showInputMessage="1" showErrorMessage="1" sqref="O53:O58" xr:uid="{00000000-0002-0000-0100-00000A000000}">
      <formula1>"Fuerte,Moderado,Débil"</formula1>
    </dataValidation>
    <dataValidation type="list" allowBlank="1" showInputMessage="1" showErrorMessage="1" sqref="B65:B79" xr:uid="{00000000-0002-0000-0100-00000B000000}">
      <formula1>"Nacional,Regional,Centro Zonal"</formula1>
    </dataValidation>
  </dataValidations>
  <pageMargins left="0.82677165354330717" right="0.62992125984251968" top="1.0629921259842521" bottom="0.74803149606299213" header="0.31496062992125984" footer="0.31496062992125984"/>
  <pageSetup scale="29" orientation="portrait" r:id="rId1"/>
  <headerFooter>
    <oddHeader>&amp;L&amp;G&amp;C&amp;16PROCESO
MEJORA E INNOVACIÓN&amp;11
&amp;"-,Negrita"&amp;20FORMATO IDENTIFICACIÓN, ANÁLISIS, EVALUACIÓN Y TRATAMIENTO DE 
RIESGOS DE CALIDAD Y CORRUPCIÓN&amp;R&amp;16F1.P14.MI
Versión 1
Página &amp;P de &amp;N
14/10/2021
Clasificación de la Información:
PÚBLICA</oddHead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C000000}">
          <x14:formula1>
            <xm:f>Hoja2!$T$3:$T$18</xm:f>
          </x14:formula1>
          <xm:sqref>C4:H4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34F0-7E61-488D-8E48-8F49458C6491}">
  <dimension ref="A1:D8"/>
  <sheetViews>
    <sheetView topLeftCell="B1" zoomScale="110" zoomScaleNormal="110" workbookViewId="0">
      <selection activeCell="B8" sqref="B6:B8"/>
    </sheetView>
  </sheetViews>
  <sheetFormatPr baseColWidth="10" defaultColWidth="11.44140625" defaultRowHeight="13.8" x14ac:dyDescent="0.3"/>
  <cols>
    <col min="1" max="1" width="11.44140625" style="117" hidden="1" customWidth="1"/>
    <col min="2" max="2" width="15.6640625" style="117" customWidth="1"/>
    <col min="3" max="3" width="76.88671875" style="117" customWidth="1"/>
    <col min="4" max="4" width="19.6640625" style="117" customWidth="1"/>
    <col min="5" max="16384" width="11.44140625" style="117"/>
  </cols>
  <sheetData>
    <row r="1" spans="1:4" ht="14.4" thickBot="1" x14ac:dyDescent="0.35"/>
    <row r="2" spans="1:4" ht="24.75" customHeight="1" x14ac:dyDescent="0.3">
      <c r="B2" s="314" t="s">
        <v>16</v>
      </c>
      <c r="C2" s="315"/>
      <c r="D2" s="316"/>
    </row>
    <row r="3" spans="1:4" ht="24.75" customHeight="1" thickBot="1" x14ac:dyDescent="0.35">
      <c r="A3" s="118" t="s">
        <v>17</v>
      </c>
      <c r="B3" s="119" t="s">
        <v>18</v>
      </c>
      <c r="C3" s="120" t="s">
        <v>19</v>
      </c>
      <c r="D3" s="121" t="s">
        <v>17</v>
      </c>
    </row>
    <row r="4" spans="1:4" x14ac:dyDescent="0.3">
      <c r="A4" s="122">
        <v>0.2</v>
      </c>
      <c r="B4" s="105" t="s">
        <v>20</v>
      </c>
      <c r="C4" s="123" t="s">
        <v>21</v>
      </c>
      <c r="D4" s="122">
        <v>0.2</v>
      </c>
    </row>
    <row r="5" spans="1:4" x14ac:dyDescent="0.3">
      <c r="A5" s="124">
        <v>0.4</v>
      </c>
      <c r="B5" s="107" t="s">
        <v>22</v>
      </c>
      <c r="C5" s="123" t="s">
        <v>23</v>
      </c>
      <c r="D5" s="124">
        <v>0.4</v>
      </c>
    </row>
    <row r="6" spans="1:4" x14ac:dyDescent="0.3">
      <c r="A6" s="124">
        <v>0.6</v>
      </c>
      <c r="B6" s="109" t="s">
        <v>24</v>
      </c>
      <c r="C6" s="123" t="s">
        <v>25</v>
      </c>
      <c r="D6" s="124">
        <v>0.6</v>
      </c>
    </row>
    <row r="7" spans="1:4" ht="27.6" x14ac:dyDescent="0.3">
      <c r="A7" s="124">
        <v>0.8</v>
      </c>
      <c r="B7" s="111" t="s">
        <v>26</v>
      </c>
      <c r="C7" s="123" t="s">
        <v>27</v>
      </c>
      <c r="D7" s="124">
        <v>0.8</v>
      </c>
    </row>
    <row r="8" spans="1:4" ht="14.4" thickBot="1" x14ac:dyDescent="0.35">
      <c r="A8" s="125">
        <v>1</v>
      </c>
      <c r="B8" s="113" t="s">
        <v>28</v>
      </c>
      <c r="C8" s="126" t="s">
        <v>29</v>
      </c>
      <c r="D8" s="125">
        <v>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504B-1A71-4A00-A275-36C86878882F}">
  <dimension ref="A3:G15"/>
  <sheetViews>
    <sheetView topLeftCell="D3" zoomScaleNormal="100" workbookViewId="0">
      <selection activeCell="D24" sqref="D24"/>
    </sheetView>
  </sheetViews>
  <sheetFormatPr baseColWidth="10" defaultColWidth="10.88671875" defaultRowHeight="13.8" x14ac:dyDescent="0.25"/>
  <cols>
    <col min="1" max="1" width="0" style="103" hidden="1" customWidth="1"/>
    <col min="2" max="3" width="20.6640625" style="103" hidden="1" customWidth="1"/>
    <col min="4" max="4" width="29.5546875" style="103" bestFit="1" customWidth="1"/>
    <col min="5" max="5" width="62.6640625" style="103" customWidth="1"/>
    <col min="6" max="7" width="20.6640625" style="103" customWidth="1"/>
    <col min="8" max="16384" width="10.88671875" style="103"/>
  </cols>
  <sheetData>
    <row r="3" spans="1:7" ht="26.25" customHeight="1" x14ac:dyDescent="0.25">
      <c r="B3" s="317" t="s">
        <v>30</v>
      </c>
      <c r="C3" s="318"/>
      <c r="D3" s="318"/>
      <c r="E3" s="318"/>
      <c r="F3" s="318"/>
      <c r="G3" s="318"/>
    </row>
    <row r="4" spans="1:7" ht="37.5" customHeight="1" x14ac:dyDescent="0.25">
      <c r="A4" s="127"/>
      <c r="B4" s="128" t="s">
        <v>18</v>
      </c>
      <c r="C4" s="129"/>
      <c r="D4" s="130" t="s">
        <v>31</v>
      </c>
      <c r="E4" s="131" t="s">
        <v>32</v>
      </c>
      <c r="F4" s="319" t="s">
        <v>18</v>
      </c>
      <c r="G4" s="320"/>
    </row>
    <row r="5" spans="1:7" ht="60" customHeight="1" x14ac:dyDescent="0.25">
      <c r="B5" s="106" t="s">
        <v>33</v>
      </c>
      <c r="C5" s="132">
        <v>0.2</v>
      </c>
      <c r="D5" s="133" t="s">
        <v>34</v>
      </c>
      <c r="E5" s="134" t="s">
        <v>35</v>
      </c>
      <c r="F5" s="106" t="s">
        <v>33</v>
      </c>
      <c r="G5" s="132">
        <v>0.2</v>
      </c>
    </row>
    <row r="6" spans="1:7" ht="60" customHeight="1" x14ac:dyDescent="0.25">
      <c r="B6" s="108" t="s">
        <v>36</v>
      </c>
      <c r="C6" s="135">
        <v>0.4</v>
      </c>
      <c r="D6" s="133" t="s">
        <v>37</v>
      </c>
      <c r="E6" s="134" t="s">
        <v>38</v>
      </c>
      <c r="F6" s="108" t="s">
        <v>36</v>
      </c>
      <c r="G6" s="135">
        <v>0.4</v>
      </c>
    </row>
    <row r="7" spans="1:7" ht="27.6" x14ac:dyDescent="0.25">
      <c r="B7" s="110" t="s">
        <v>39</v>
      </c>
      <c r="C7" s="136">
        <v>0.6</v>
      </c>
      <c r="D7" s="133" t="s">
        <v>40</v>
      </c>
      <c r="E7" s="134" t="s">
        <v>41</v>
      </c>
      <c r="F7" s="110" t="s">
        <v>39</v>
      </c>
      <c r="G7" s="136">
        <v>0.6</v>
      </c>
    </row>
    <row r="8" spans="1:7" ht="41.4" x14ac:dyDescent="0.25">
      <c r="B8" s="112" t="s">
        <v>42</v>
      </c>
      <c r="C8" s="137">
        <v>0.8</v>
      </c>
      <c r="D8" s="133" t="s">
        <v>43</v>
      </c>
      <c r="E8" s="134" t="s">
        <v>44</v>
      </c>
      <c r="F8" s="112" t="s">
        <v>42</v>
      </c>
      <c r="G8" s="137">
        <v>0.8</v>
      </c>
    </row>
    <row r="9" spans="1:7" ht="28.2" thickBot="1" x14ac:dyDescent="0.3">
      <c r="B9" s="114" t="s">
        <v>45</v>
      </c>
      <c r="C9" s="138">
        <v>1</v>
      </c>
      <c r="D9" s="139" t="s">
        <v>46</v>
      </c>
      <c r="E9" s="140" t="s">
        <v>47</v>
      </c>
      <c r="F9" s="114" t="s">
        <v>45</v>
      </c>
      <c r="G9" s="138">
        <v>1</v>
      </c>
    </row>
    <row r="10" spans="1:7" ht="27.6" hidden="1" x14ac:dyDescent="0.25">
      <c r="D10" s="134" t="s">
        <v>35</v>
      </c>
      <c r="F10" s="106" t="s">
        <v>33</v>
      </c>
      <c r="G10" s="132">
        <v>0.2</v>
      </c>
    </row>
    <row r="11" spans="1:7" ht="69" hidden="1" x14ac:dyDescent="0.25">
      <c r="D11" s="134" t="s">
        <v>48</v>
      </c>
      <c r="F11" s="108" t="s">
        <v>36</v>
      </c>
      <c r="G11" s="135">
        <v>0.4</v>
      </c>
    </row>
    <row r="12" spans="1:7" ht="55.2" hidden="1" x14ac:dyDescent="0.25">
      <c r="D12" s="134" t="s">
        <v>41</v>
      </c>
      <c r="F12" s="110" t="s">
        <v>39</v>
      </c>
      <c r="G12" s="136">
        <v>0.6</v>
      </c>
    </row>
    <row r="13" spans="1:7" ht="69" hidden="1" x14ac:dyDescent="0.25">
      <c r="D13" s="134" t="s">
        <v>44</v>
      </c>
      <c r="F13" s="112" t="s">
        <v>42</v>
      </c>
      <c r="G13" s="137">
        <v>0.8</v>
      </c>
    </row>
    <row r="14" spans="1:7" ht="55.8" hidden="1" thickBot="1" x14ac:dyDescent="0.3">
      <c r="D14" s="140" t="s">
        <v>49</v>
      </c>
      <c r="F14" s="114" t="s">
        <v>45</v>
      </c>
      <c r="G14" s="138">
        <v>1</v>
      </c>
    </row>
    <row r="15" spans="1:7" hidden="1" x14ac:dyDescent="0.25"/>
  </sheetData>
  <mergeCells count="2">
    <mergeCell ref="B3:G3"/>
    <mergeCell ref="F4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74C2-8C7E-4657-908E-B470AA0A83FB}">
  <dimension ref="A1:Q55"/>
  <sheetViews>
    <sheetView topLeftCell="A10" zoomScale="85" zoomScaleNormal="85" workbookViewId="0">
      <selection activeCell="D29" sqref="D29"/>
    </sheetView>
  </sheetViews>
  <sheetFormatPr baseColWidth="10" defaultColWidth="11.44140625" defaultRowHeight="13.2" x14ac:dyDescent="0.25"/>
  <cols>
    <col min="1" max="1" width="11.44140625" style="174"/>
    <col min="2" max="2" width="39.109375" style="174" bestFit="1" customWidth="1"/>
    <col min="3" max="3" width="37.88671875" style="174" customWidth="1"/>
    <col min="4" max="4" width="33.44140625" style="174" customWidth="1"/>
    <col min="5" max="5" width="35.109375" style="174" customWidth="1"/>
    <col min="6" max="6" width="37.44140625" style="174" bestFit="1" customWidth="1"/>
    <col min="7" max="7" width="14.109375" style="174" bestFit="1" customWidth="1"/>
    <col min="8" max="8" width="6.88671875" style="174" bestFit="1" customWidth="1"/>
    <col min="9" max="9" width="21.33203125" style="174" bestFit="1" customWidth="1"/>
    <col min="10" max="16384" width="11.44140625" style="174"/>
  </cols>
  <sheetData>
    <row r="1" spans="2:17" x14ac:dyDescent="0.25">
      <c r="B1" s="173" t="s">
        <v>50</v>
      </c>
      <c r="C1" s="173" t="s">
        <v>51</v>
      </c>
      <c r="D1" s="173" t="s">
        <v>52</v>
      </c>
      <c r="F1" s="173" t="s">
        <v>53</v>
      </c>
      <c r="G1" s="173" t="s">
        <v>54</v>
      </c>
      <c r="H1" s="173" t="s">
        <v>55</v>
      </c>
      <c r="I1" s="173" t="s">
        <v>56</v>
      </c>
      <c r="J1" s="173" t="s">
        <v>57</v>
      </c>
      <c r="L1" s="173" t="s">
        <v>58</v>
      </c>
      <c r="M1" s="173" t="s">
        <v>59</v>
      </c>
      <c r="N1" s="173" t="s">
        <v>60</v>
      </c>
      <c r="O1" s="173" t="s">
        <v>61</v>
      </c>
      <c r="P1" s="173" t="s">
        <v>62</v>
      </c>
      <c r="Q1" s="173" t="s">
        <v>63</v>
      </c>
    </row>
    <row r="2" spans="2:17" ht="79.8" thickBot="1" x14ac:dyDescent="0.3">
      <c r="B2" s="168" t="s">
        <v>64</v>
      </c>
      <c r="C2" s="168" t="s">
        <v>8</v>
      </c>
      <c r="D2" s="168" t="s">
        <v>12</v>
      </c>
      <c r="F2" s="171" t="s">
        <v>65</v>
      </c>
      <c r="G2" s="172" t="s">
        <v>66</v>
      </c>
      <c r="H2" s="172" t="s">
        <v>67</v>
      </c>
      <c r="I2" s="172" t="s">
        <v>65</v>
      </c>
      <c r="J2" s="172" t="s">
        <v>65</v>
      </c>
      <c r="L2" s="175" t="s">
        <v>68</v>
      </c>
      <c r="M2" s="176" t="s">
        <v>69</v>
      </c>
      <c r="N2" s="176" t="s">
        <v>70</v>
      </c>
      <c r="O2" s="177" t="s">
        <v>71</v>
      </c>
      <c r="P2" s="177" t="s">
        <v>72</v>
      </c>
      <c r="Q2" s="177" t="s">
        <v>73</v>
      </c>
    </row>
    <row r="3" spans="2:17" ht="93" thickBot="1" x14ac:dyDescent="0.3">
      <c r="B3" s="168" t="s">
        <v>74</v>
      </c>
      <c r="C3" s="168" t="s">
        <v>9</v>
      </c>
      <c r="D3" s="168" t="s">
        <v>13</v>
      </c>
      <c r="F3" s="171" t="s">
        <v>75</v>
      </c>
      <c r="G3" s="172" t="s">
        <v>76</v>
      </c>
      <c r="H3" s="172" t="s">
        <v>77</v>
      </c>
      <c r="I3" s="172" t="s">
        <v>75</v>
      </c>
      <c r="J3" s="172" t="s">
        <v>75</v>
      </c>
      <c r="L3" s="175" t="s">
        <v>78</v>
      </c>
      <c r="M3" s="176" t="s">
        <v>79</v>
      </c>
      <c r="N3" s="176" t="s">
        <v>80</v>
      </c>
      <c r="O3" s="178" t="s">
        <v>81</v>
      </c>
      <c r="P3" s="178" t="s">
        <v>82</v>
      </c>
      <c r="Q3" s="177" t="s">
        <v>83</v>
      </c>
    </row>
    <row r="4" spans="2:17" ht="79.8" thickBot="1" x14ac:dyDescent="0.3">
      <c r="B4" s="168" t="s">
        <v>6</v>
      </c>
      <c r="C4" s="168" t="s">
        <v>10</v>
      </c>
      <c r="D4" s="168" t="s">
        <v>84</v>
      </c>
      <c r="F4" s="171" t="s">
        <v>85</v>
      </c>
      <c r="G4" s="172" t="s">
        <v>86</v>
      </c>
      <c r="H4" s="172" t="s">
        <v>87</v>
      </c>
      <c r="I4" s="172" t="s">
        <v>85</v>
      </c>
      <c r="J4" s="172" t="s">
        <v>85</v>
      </c>
      <c r="L4" s="175" t="s">
        <v>88</v>
      </c>
      <c r="M4" s="176" t="s">
        <v>89</v>
      </c>
      <c r="N4" s="176" t="s">
        <v>90</v>
      </c>
      <c r="O4" s="178" t="s">
        <v>91</v>
      </c>
      <c r="P4" s="178" t="s">
        <v>92</v>
      </c>
      <c r="Q4" s="178" t="s">
        <v>93</v>
      </c>
    </row>
    <row r="5" spans="2:17" ht="66.599999999999994" thickBot="1" x14ac:dyDescent="0.3">
      <c r="B5" s="168" t="s">
        <v>5</v>
      </c>
      <c r="C5" s="168" t="s">
        <v>94</v>
      </c>
      <c r="D5" s="168" t="s">
        <v>14</v>
      </c>
      <c r="F5" s="179"/>
      <c r="G5" s="172" t="s">
        <v>95</v>
      </c>
      <c r="H5" s="180"/>
      <c r="I5" s="180"/>
      <c r="J5" s="180"/>
      <c r="L5" s="175" t="s">
        <v>96</v>
      </c>
      <c r="M5" s="176" t="s">
        <v>97</v>
      </c>
      <c r="N5" s="176" t="s">
        <v>98</v>
      </c>
      <c r="O5" s="178" t="s">
        <v>99</v>
      </c>
      <c r="P5" s="178" t="s">
        <v>100</v>
      </c>
      <c r="Q5" s="178" t="s">
        <v>101</v>
      </c>
    </row>
    <row r="6" spans="2:17" ht="86.25" customHeight="1" thickBot="1" x14ac:dyDescent="0.3">
      <c r="B6" s="168" t="s">
        <v>102</v>
      </c>
      <c r="C6" s="168" t="s">
        <v>103</v>
      </c>
      <c r="D6" s="168" t="s">
        <v>104</v>
      </c>
      <c r="L6" s="175" t="s">
        <v>105</v>
      </c>
      <c r="M6" s="180"/>
      <c r="N6" s="172" t="s">
        <v>106</v>
      </c>
      <c r="O6" s="178" t="s">
        <v>107</v>
      </c>
      <c r="P6" s="180"/>
      <c r="Q6" s="180"/>
    </row>
    <row r="7" spans="2:17" ht="53.4" thickBot="1" x14ac:dyDescent="0.3">
      <c r="B7" s="168" t="s">
        <v>4</v>
      </c>
      <c r="C7" s="168" t="s">
        <v>108</v>
      </c>
      <c r="D7" s="168" t="s">
        <v>15</v>
      </c>
      <c r="L7" s="175" t="s">
        <v>109</v>
      </c>
      <c r="M7" s="180"/>
      <c r="N7" s="180"/>
      <c r="O7" s="180"/>
      <c r="P7" s="180"/>
      <c r="Q7" s="180"/>
    </row>
    <row r="8" spans="2:17" ht="106.2" thickBot="1" x14ac:dyDescent="0.3">
      <c r="L8" s="175" t="s">
        <v>110</v>
      </c>
      <c r="M8" s="180"/>
      <c r="N8" s="180"/>
      <c r="O8" s="180"/>
      <c r="P8" s="180"/>
      <c r="Q8" s="180"/>
    </row>
    <row r="9" spans="2:17" ht="79.8" thickBot="1" x14ac:dyDescent="0.3">
      <c r="B9" s="321" t="s">
        <v>111</v>
      </c>
      <c r="C9" s="321"/>
      <c r="D9" s="321"/>
      <c r="E9" s="321"/>
      <c r="L9" s="175" t="s">
        <v>112</v>
      </c>
      <c r="M9" s="180"/>
      <c r="N9" s="180"/>
      <c r="O9" s="180"/>
      <c r="P9" s="180"/>
      <c r="Q9" s="180"/>
    </row>
    <row r="10" spans="2:17" ht="93" thickBot="1" x14ac:dyDescent="0.3">
      <c r="E10" s="181"/>
      <c r="F10" s="182" t="s">
        <v>113</v>
      </c>
      <c r="G10" s="182"/>
      <c r="L10" s="175" t="s">
        <v>114</v>
      </c>
      <c r="M10" s="180"/>
      <c r="N10" s="180"/>
      <c r="O10" s="180"/>
      <c r="P10" s="180"/>
      <c r="Q10" s="180"/>
    </row>
    <row r="11" spans="2:17" x14ac:dyDescent="0.25">
      <c r="B11" s="183" t="s">
        <v>115</v>
      </c>
      <c r="C11" s="184" t="s">
        <v>116</v>
      </c>
      <c r="D11" s="185" t="s">
        <v>117</v>
      </c>
      <c r="E11" s="182" t="s">
        <v>118</v>
      </c>
      <c r="F11" s="182" t="s">
        <v>119</v>
      </c>
      <c r="G11" s="182" t="s">
        <v>120</v>
      </c>
    </row>
    <row r="12" spans="2:17" x14ac:dyDescent="0.25">
      <c r="B12" s="174" t="s">
        <v>121</v>
      </c>
      <c r="C12" s="174" t="s">
        <v>122</v>
      </c>
      <c r="D12" s="186" t="s">
        <v>119</v>
      </c>
      <c r="E12" s="187" t="s">
        <v>20</v>
      </c>
      <c r="F12" s="188" t="s">
        <v>33</v>
      </c>
      <c r="G12" s="189" t="s">
        <v>123</v>
      </c>
    </row>
    <row r="13" spans="2:17" x14ac:dyDescent="0.25">
      <c r="B13" s="174" t="s">
        <v>124</v>
      </c>
      <c r="C13" s="174" t="s">
        <v>125</v>
      </c>
      <c r="D13" s="186" t="s">
        <v>120</v>
      </c>
      <c r="E13" s="190" t="s">
        <v>22</v>
      </c>
      <c r="F13" s="191" t="s">
        <v>36</v>
      </c>
      <c r="G13" s="189" t="s">
        <v>126</v>
      </c>
    </row>
    <row r="14" spans="2:17" x14ac:dyDescent="0.25">
      <c r="B14" s="174" t="s">
        <v>127</v>
      </c>
      <c r="C14" s="174" t="s">
        <v>128</v>
      </c>
      <c r="E14" s="192" t="s">
        <v>24</v>
      </c>
      <c r="F14" s="193" t="s">
        <v>39</v>
      </c>
      <c r="G14" s="189" t="s">
        <v>129</v>
      </c>
    </row>
    <row r="15" spans="2:17" x14ac:dyDescent="0.25">
      <c r="B15" s="174" t="s">
        <v>130</v>
      </c>
      <c r="C15" s="174" t="s">
        <v>131</v>
      </c>
      <c r="E15" s="194" t="s">
        <v>26</v>
      </c>
      <c r="F15" s="195" t="s">
        <v>42</v>
      </c>
      <c r="G15" s="196"/>
    </row>
    <row r="16" spans="2:17" ht="13.8" thickBot="1" x14ac:dyDescent="0.3">
      <c r="C16" s="174" t="s">
        <v>132</v>
      </c>
      <c r="E16" s="197" t="s">
        <v>28</v>
      </c>
      <c r="F16" s="198" t="s">
        <v>45</v>
      </c>
      <c r="G16" s="196"/>
    </row>
    <row r="17" spans="2:3" x14ac:dyDescent="0.25">
      <c r="C17" s="174" t="s">
        <v>133</v>
      </c>
    </row>
    <row r="18" spans="2:3" x14ac:dyDescent="0.25">
      <c r="C18" s="174" t="s">
        <v>134</v>
      </c>
    </row>
    <row r="19" spans="2:3" x14ac:dyDescent="0.25">
      <c r="C19" s="174" t="s">
        <v>135</v>
      </c>
    </row>
    <row r="20" spans="2:3" x14ac:dyDescent="0.25">
      <c r="C20" s="174" t="s">
        <v>136</v>
      </c>
    </row>
    <row r="21" spans="2:3" x14ac:dyDescent="0.25">
      <c r="C21" s="174" t="s">
        <v>137</v>
      </c>
    </row>
    <row r="22" spans="2:3" x14ac:dyDescent="0.25">
      <c r="C22" s="174" t="s">
        <v>138</v>
      </c>
    </row>
    <row r="23" spans="2:3" x14ac:dyDescent="0.25">
      <c r="C23" s="174" t="s">
        <v>139</v>
      </c>
    </row>
    <row r="24" spans="2:3" x14ac:dyDescent="0.25">
      <c r="C24" s="174" t="s">
        <v>140</v>
      </c>
    </row>
    <row r="25" spans="2:3" x14ac:dyDescent="0.25">
      <c r="C25" s="174" t="s">
        <v>141</v>
      </c>
    </row>
    <row r="26" spans="2:3" x14ac:dyDescent="0.25">
      <c r="C26" s="174" t="s">
        <v>142</v>
      </c>
    </row>
    <row r="27" spans="2:3" x14ac:dyDescent="0.25">
      <c r="C27" s="199"/>
    </row>
    <row r="28" spans="2:3" x14ac:dyDescent="0.25">
      <c r="B28" s="173" t="s">
        <v>143</v>
      </c>
      <c r="C28" s="200" t="s">
        <v>144</v>
      </c>
    </row>
    <row r="29" spans="2:3" x14ac:dyDescent="0.25">
      <c r="B29" s="174" t="s">
        <v>145</v>
      </c>
      <c r="C29" s="174" t="s">
        <v>146</v>
      </c>
    </row>
    <row r="30" spans="2:3" x14ac:dyDescent="0.25">
      <c r="B30" s="174" t="s">
        <v>147</v>
      </c>
      <c r="C30" s="174" t="s">
        <v>148</v>
      </c>
    </row>
    <row r="31" spans="2:3" x14ac:dyDescent="0.25">
      <c r="B31" s="174" t="s">
        <v>70</v>
      </c>
      <c r="C31" s="174" t="s">
        <v>149</v>
      </c>
    </row>
    <row r="32" spans="2:3" x14ac:dyDescent="0.25">
      <c r="B32" s="174" t="s">
        <v>150</v>
      </c>
      <c r="C32" s="174" t="s">
        <v>61</v>
      </c>
    </row>
    <row r="33" spans="1:11" x14ac:dyDescent="0.25">
      <c r="B33" s="174" t="s">
        <v>151</v>
      </c>
      <c r="C33" s="174" t="s">
        <v>62</v>
      </c>
    </row>
    <row r="34" spans="1:11" x14ac:dyDescent="0.25">
      <c r="B34" s="174" t="s">
        <v>152</v>
      </c>
      <c r="C34" s="174" t="s">
        <v>148</v>
      </c>
    </row>
    <row r="35" spans="1:11" ht="14.4" customHeight="1" x14ac:dyDescent="0.25">
      <c r="B35" s="174" t="s">
        <v>153</v>
      </c>
      <c r="C35" s="201"/>
    </row>
    <row r="37" spans="1:11" x14ac:dyDescent="0.25">
      <c r="B37" s="321" t="s">
        <v>154</v>
      </c>
      <c r="C37" s="321"/>
      <c r="D37" s="321"/>
      <c r="E37" s="321"/>
      <c r="F37" s="202" t="s">
        <v>155</v>
      </c>
    </row>
    <row r="38" spans="1:11" x14ac:dyDescent="0.25">
      <c r="B38" s="203" t="s">
        <v>156</v>
      </c>
      <c r="C38" s="203" t="s">
        <v>157</v>
      </c>
      <c r="D38" s="203" t="s">
        <v>158</v>
      </c>
      <c r="E38" s="203" t="s">
        <v>159</v>
      </c>
      <c r="F38" s="204" t="s">
        <v>160</v>
      </c>
      <c r="G38" s="204" t="s">
        <v>161</v>
      </c>
      <c r="H38" s="204" t="s">
        <v>162</v>
      </c>
      <c r="I38" s="204" t="s">
        <v>161</v>
      </c>
      <c r="J38" s="204" t="s">
        <v>163</v>
      </c>
      <c r="K38" s="204" t="s">
        <v>158</v>
      </c>
    </row>
    <row r="39" spans="1:11" x14ac:dyDescent="0.25">
      <c r="A39" s="322" t="s">
        <v>164</v>
      </c>
      <c r="B39" s="174" t="s">
        <v>165</v>
      </c>
      <c r="C39" s="205">
        <v>0.25</v>
      </c>
      <c r="D39" s="174" t="s">
        <v>166</v>
      </c>
      <c r="E39" s="205">
        <v>0.25</v>
      </c>
      <c r="F39" s="174" t="s">
        <v>167</v>
      </c>
      <c r="G39" s="205">
        <v>0.1</v>
      </c>
      <c r="H39" s="174" t="s">
        <v>168</v>
      </c>
      <c r="I39" s="205">
        <v>0.05</v>
      </c>
      <c r="J39" s="174" t="s">
        <v>169</v>
      </c>
      <c r="K39" s="205" t="s">
        <v>170</v>
      </c>
    </row>
    <row r="40" spans="1:11" x14ac:dyDescent="0.25">
      <c r="A40" s="322"/>
      <c r="B40" s="174" t="s">
        <v>171</v>
      </c>
      <c r="C40" s="205">
        <v>0.15</v>
      </c>
      <c r="D40" s="174" t="s">
        <v>172</v>
      </c>
      <c r="E40" s="205">
        <v>0.15</v>
      </c>
      <c r="F40" s="174" t="s">
        <v>173</v>
      </c>
      <c r="G40" s="206">
        <v>0</v>
      </c>
      <c r="H40" s="174" t="s">
        <v>174</v>
      </c>
      <c r="I40" s="205">
        <v>0</v>
      </c>
      <c r="J40" s="174" t="s">
        <v>175</v>
      </c>
      <c r="K40" s="205" t="s">
        <v>176</v>
      </c>
    </row>
    <row r="41" spans="1:11" x14ac:dyDescent="0.25">
      <c r="A41" s="174" t="s">
        <v>177</v>
      </c>
      <c r="B41" s="174" t="s">
        <v>178</v>
      </c>
      <c r="C41" s="205">
        <v>0.1</v>
      </c>
      <c r="F41" s="174" t="s">
        <v>179</v>
      </c>
      <c r="K41" s="174" t="s">
        <v>180</v>
      </c>
    </row>
    <row r="42" spans="1:11" ht="26.1" customHeight="1" x14ac:dyDescent="0.25">
      <c r="B42" s="174" t="s">
        <v>181</v>
      </c>
      <c r="C42" s="174" t="s">
        <v>182</v>
      </c>
      <c r="F42" s="174" t="s">
        <v>183</v>
      </c>
    </row>
    <row r="45" spans="1:11" x14ac:dyDescent="0.25">
      <c r="B45" s="203" t="s">
        <v>156</v>
      </c>
    </row>
    <row r="46" spans="1:11" x14ac:dyDescent="0.25">
      <c r="B46" s="174" t="s">
        <v>164</v>
      </c>
    </row>
    <row r="47" spans="1:11" x14ac:dyDescent="0.25">
      <c r="B47" s="174" t="s">
        <v>177</v>
      </c>
    </row>
    <row r="51" spans="2:4" x14ac:dyDescent="0.25">
      <c r="C51" s="207"/>
      <c r="D51" s="201"/>
    </row>
    <row r="52" spans="2:4" x14ac:dyDescent="0.25">
      <c r="B52" s="207"/>
      <c r="C52" s="207"/>
      <c r="D52" s="201"/>
    </row>
    <row r="53" spans="2:4" x14ac:dyDescent="0.25">
      <c r="B53" s="201"/>
      <c r="C53" s="207"/>
      <c r="D53" s="201"/>
    </row>
    <row r="54" spans="2:4" x14ac:dyDescent="0.25">
      <c r="B54" s="207"/>
      <c r="C54" s="207"/>
      <c r="D54" s="201"/>
    </row>
    <row r="55" spans="2:4" x14ac:dyDescent="0.25">
      <c r="B55" s="207"/>
      <c r="C55" s="207"/>
      <c r="D55" s="207"/>
    </row>
  </sheetData>
  <mergeCells count="3">
    <mergeCell ref="B9:E9"/>
    <mergeCell ref="A39:A40"/>
    <mergeCell ref="B37:E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9"/>
  <sheetViews>
    <sheetView topLeftCell="A4" zoomScaleNormal="100" workbookViewId="0">
      <selection activeCell="D29" sqref="D29"/>
    </sheetView>
  </sheetViews>
  <sheetFormatPr baseColWidth="10" defaultColWidth="11.44140625" defaultRowHeight="14.4" x14ac:dyDescent="0.3"/>
  <cols>
    <col min="3" max="4" width="28.88671875" customWidth="1"/>
    <col min="5" max="5" width="28.5546875" customWidth="1"/>
    <col min="8" max="8" width="13.88671875" bestFit="1" customWidth="1"/>
    <col min="10" max="10" width="24.44140625" customWidth="1"/>
    <col min="15" max="15" width="30.44140625" customWidth="1"/>
    <col min="20" max="24" width="9.6640625" customWidth="1"/>
  </cols>
  <sheetData>
    <row r="2" spans="1:24" ht="15" thickBot="1" x14ac:dyDescent="0.35">
      <c r="B2" t="s">
        <v>184</v>
      </c>
      <c r="D2" t="s">
        <v>184</v>
      </c>
      <c r="E2" s="115">
        <v>0</v>
      </c>
    </row>
    <row r="3" spans="1:24" ht="63" thickBot="1" x14ac:dyDescent="0.35">
      <c r="A3" s="88">
        <v>1</v>
      </c>
      <c r="B3" s="208" t="s">
        <v>34</v>
      </c>
      <c r="C3" s="208" t="s">
        <v>35</v>
      </c>
      <c r="D3" s="209" t="s">
        <v>33</v>
      </c>
      <c r="E3" s="115">
        <v>0.2</v>
      </c>
      <c r="F3">
        <v>5</v>
      </c>
      <c r="G3">
        <v>0.2</v>
      </c>
      <c r="H3" t="s">
        <v>185</v>
      </c>
      <c r="I3" s="213" t="s">
        <v>20</v>
      </c>
      <c r="J3" s="214" t="s">
        <v>21</v>
      </c>
      <c r="K3" s="104">
        <v>0.2</v>
      </c>
      <c r="N3" s="4" t="s">
        <v>186</v>
      </c>
      <c r="O3" s="4" t="s">
        <v>187</v>
      </c>
      <c r="P3" s="4" t="s">
        <v>163</v>
      </c>
      <c r="Q3" s="3" t="s">
        <v>188</v>
      </c>
      <c r="T3" s="90" t="s">
        <v>33</v>
      </c>
      <c r="U3" s="90" t="s">
        <v>36</v>
      </c>
      <c r="V3" s="90" t="s">
        <v>39</v>
      </c>
      <c r="W3" s="90" t="s">
        <v>42</v>
      </c>
      <c r="X3" s="90" t="s">
        <v>45</v>
      </c>
    </row>
    <row r="4" spans="1:24" ht="66.599999999999994" thickBot="1" x14ac:dyDescent="0.35">
      <c r="A4" s="88">
        <v>2</v>
      </c>
      <c r="B4" s="208" t="s">
        <v>37</v>
      </c>
      <c r="C4" s="208" t="s">
        <v>38</v>
      </c>
      <c r="D4" s="210" t="s">
        <v>36</v>
      </c>
      <c r="E4" s="115">
        <v>0.4</v>
      </c>
      <c r="F4">
        <v>4</v>
      </c>
      <c r="G4">
        <v>0.4</v>
      </c>
      <c r="H4" t="s">
        <v>189</v>
      </c>
      <c r="I4" s="215" t="s">
        <v>22</v>
      </c>
      <c r="J4" s="214" t="s">
        <v>23</v>
      </c>
      <c r="K4" s="104">
        <v>0.4</v>
      </c>
      <c r="N4" s="6" t="s">
        <v>190</v>
      </c>
      <c r="O4" s="7" t="s">
        <v>191</v>
      </c>
      <c r="P4" s="8" t="s">
        <v>192</v>
      </c>
      <c r="Q4" s="5">
        <v>5</v>
      </c>
      <c r="S4" s="98" t="s">
        <v>28</v>
      </c>
      <c r="T4" s="99" t="s">
        <v>193</v>
      </c>
      <c r="U4" s="99" t="s">
        <v>193</v>
      </c>
      <c r="V4" s="99" t="s">
        <v>193</v>
      </c>
      <c r="W4" s="99" t="s">
        <v>193</v>
      </c>
      <c r="X4" s="100" t="s">
        <v>194</v>
      </c>
    </row>
    <row r="5" spans="1:24" ht="53.4" thickBot="1" x14ac:dyDescent="0.35">
      <c r="A5" s="88">
        <v>3</v>
      </c>
      <c r="B5" s="208" t="s">
        <v>40</v>
      </c>
      <c r="C5" s="208" t="s">
        <v>41</v>
      </c>
      <c r="D5" s="218" t="s">
        <v>39</v>
      </c>
      <c r="E5" s="115">
        <v>0.6</v>
      </c>
      <c r="F5">
        <v>3</v>
      </c>
      <c r="G5">
        <v>0.6</v>
      </c>
      <c r="H5" t="s">
        <v>195</v>
      </c>
      <c r="I5" s="219" t="s">
        <v>24</v>
      </c>
      <c r="J5" s="214" t="s">
        <v>25</v>
      </c>
      <c r="K5" s="104">
        <v>0.6</v>
      </c>
      <c r="N5" s="6" t="s">
        <v>196</v>
      </c>
      <c r="O5" s="7" t="s">
        <v>197</v>
      </c>
      <c r="P5" s="8" t="s">
        <v>198</v>
      </c>
      <c r="Q5" s="5">
        <v>4</v>
      </c>
      <c r="S5" s="98" t="s">
        <v>26</v>
      </c>
      <c r="T5" s="101" t="s">
        <v>39</v>
      </c>
      <c r="U5" s="101" t="s">
        <v>39</v>
      </c>
      <c r="V5" s="99" t="s">
        <v>193</v>
      </c>
      <c r="W5" s="99" t="s">
        <v>193</v>
      </c>
      <c r="X5" s="100" t="s">
        <v>194</v>
      </c>
    </row>
    <row r="6" spans="1:24" ht="66.599999999999994" thickBot="1" x14ac:dyDescent="0.35">
      <c r="A6" s="88">
        <v>4</v>
      </c>
      <c r="B6" s="208" t="s">
        <v>43</v>
      </c>
      <c r="C6" s="208" t="s">
        <v>44</v>
      </c>
      <c r="D6" s="211" t="s">
        <v>42</v>
      </c>
      <c r="E6" s="115">
        <v>0.8</v>
      </c>
      <c r="F6">
        <v>2</v>
      </c>
      <c r="G6">
        <v>0.8</v>
      </c>
      <c r="H6" t="s">
        <v>199</v>
      </c>
      <c r="I6" s="216" t="s">
        <v>26</v>
      </c>
      <c r="J6" s="214" t="s">
        <v>27</v>
      </c>
      <c r="K6" s="104">
        <v>0.8</v>
      </c>
      <c r="N6" s="6" t="s">
        <v>200</v>
      </c>
      <c r="O6" s="7" t="s">
        <v>201</v>
      </c>
      <c r="P6" s="8" t="s">
        <v>202</v>
      </c>
      <c r="Q6" s="5">
        <v>3</v>
      </c>
      <c r="S6" s="98" t="s">
        <v>24</v>
      </c>
      <c r="T6" s="101" t="s">
        <v>39</v>
      </c>
      <c r="U6" s="101" t="s">
        <v>39</v>
      </c>
      <c r="V6" s="101" t="s">
        <v>39</v>
      </c>
      <c r="W6" s="99" t="s">
        <v>193</v>
      </c>
      <c r="X6" s="100" t="s">
        <v>194</v>
      </c>
    </row>
    <row r="7" spans="1:24" ht="58.2" thickBot="1" x14ac:dyDescent="0.35">
      <c r="A7" s="88">
        <v>5</v>
      </c>
      <c r="B7" s="208" t="s">
        <v>46</v>
      </c>
      <c r="C7" s="208" t="s">
        <v>47</v>
      </c>
      <c r="D7" s="212" t="s">
        <v>45</v>
      </c>
      <c r="E7" s="115">
        <v>1</v>
      </c>
      <c r="F7">
        <v>1</v>
      </c>
      <c r="G7">
        <v>1</v>
      </c>
      <c r="H7" t="s">
        <v>203</v>
      </c>
      <c r="I7" s="217" t="s">
        <v>28</v>
      </c>
      <c r="J7" s="214" t="s">
        <v>29</v>
      </c>
      <c r="K7" s="104">
        <v>1</v>
      </c>
      <c r="N7" s="6" t="s">
        <v>204</v>
      </c>
      <c r="O7" s="7" t="s">
        <v>205</v>
      </c>
      <c r="P7" s="8" t="s">
        <v>206</v>
      </c>
      <c r="Q7" s="5">
        <v>2</v>
      </c>
      <c r="S7" s="98" t="s">
        <v>22</v>
      </c>
      <c r="T7" s="102" t="s">
        <v>207</v>
      </c>
      <c r="U7" s="101" t="s">
        <v>39</v>
      </c>
      <c r="V7" s="101" t="s">
        <v>39</v>
      </c>
      <c r="W7" s="99" t="s">
        <v>193</v>
      </c>
      <c r="X7" s="100" t="s">
        <v>194</v>
      </c>
    </row>
    <row r="8" spans="1:24" ht="72.599999999999994" thickBot="1" x14ac:dyDescent="0.35">
      <c r="B8" s="2" t="s">
        <v>184</v>
      </c>
      <c r="C8" s="245" t="s">
        <v>184</v>
      </c>
      <c r="D8" t="s">
        <v>184</v>
      </c>
      <c r="N8" s="6" t="s">
        <v>208</v>
      </c>
      <c r="O8" s="7" t="s">
        <v>209</v>
      </c>
      <c r="P8" s="8" t="s">
        <v>210</v>
      </c>
      <c r="Q8" s="5">
        <v>1</v>
      </c>
      <c r="S8" s="98" t="s">
        <v>20</v>
      </c>
      <c r="T8" s="102" t="s">
        <v>207</v>
      </c>
      <c r="U8" s="102" t="s">
        <v>207</v>
      </c>
      <c r="V8" s="101" t="s">
        <v>39</v>
      </c>
      <c r="W8" s="99" t="s">
        <v>193</v>
      </c>
      <c r="X8" s="100" t="s">
        <v>194</v>
      </c>
    </row>
    <row r="9" spans="1:24" ht="15" thickBot="1" x14ac:dyDescent="0.35">
      <c r="C9" t="s">
        <v>211</v>
      </c>
      <c r="D9" t="s">
        <v>177</v>
      </c>
    </row>
    <row r="10" spans="1:24" ht="28.2" thickBot="1" x14ac:dyDescent="0.35">
      <c r="B10" t="s">
        <v>212</v>
      </c>
      <c r="C10" s="1">
        <v>1</v>
      </c>
      <c r="D10" s="1">
        <v>0.2</v>
      </c>
      <c r="E10" t="s">
        <v>193</v>
      </c>
      <c r="G10" s="89">
        <v>0.1</v>
      </c>
      <c r="H10" s="88">
        <v>5</v>
      </c>
      <c r="I10" s="88">
        <v>1</v>
      </c>
      <c r="N10" s="9" t="s">
        <v>213</v>
      </c>
      <c r="O10" s="10" t="s">
        <v>187</v>
      </c>
    </row>
    <row r="11" spans="1:24" ht="34.799999999999997" thickBot="1" x14ac:dyDescent="0.35">
      <c r="B11" t="s">
        <v>214</v>
      </c>
      <c r="C11" s="1">
        <v>0.8</v>
      </c>
      <c r="D11" s="1">
        <v>0.2</v>
      </c>
      <c r="E11" t="s">
        <v>39</v>
      </c>
      <c r="G11" s="89">
        <v>0.2</v>
      </c>
      <c r="H11" s="88">
        <v>5</v>
      </c>
      <c r="I11" s="88">
        <v>1</v>
      </c>
      <c r="N11" s="12" t="s">
        <v>39</v>
      </c>
      <c r="O11" s="11" t="s">
        <v>215</v>
      </c>
      <c r="Q11" s="15">
        <v>3</v>
      </c>
    </row>
    <row r="12" spans="1:24" ht="23.4" thickBot="1" x14ac:dyDescent="0.35">
      <c r="B12" t="s">
        <v>216</v>
      </c>
      <c r="C12" s="1">
        <v>0.6</v>
      </c>
      <c r="D12" s="1">
        <v>0.2</v>
      </c>
      <c r="E12" t="s">
        <v>39</v>
      </c>
      <c r="G12" s="89">
        <v>0.3</v>
      </c>
      <c r="H12" s="88">
        <v>4</v>
      </c>
      <c r="I12" s="88">
        <v>2</v>
      </c>
      <c r="N12" s="12" t="s">
        <v>42</v>
      </c>
      <c r="O12" s="11" t="s">
        <v>217</v>
      </c>
      <c r="Q12" s="15">
        <v>4</v>
      </c>
    </row>
    <row r="13" spans="1:24" ht="34.200000000000003" x14ac:dyDescent="0.3">
      <c r="B13" t="s">
        <v>218</v>
      </c>
      <c r="C13" s="1">
        <v>0.4</v>
      </c>
      <c r="D13" s="1">
        <v>0.2</v>
      </c>
      <c r="E13" t="s">
        <v>207</v>
      </c>
      <c r="G13" s="89">
        <v>0.4</v>
      </c>
      <c r="H13" s="88">
        <v>4</v>
      </c>
      <c r="I13" s="88">
        <v>2</v>
      </c>
      <c r="N13" s="12" t="s">
        <v>45</v>
      </c>
      <c r="O13" s="11" t="s">
        <v>219</v>
      </c>
      <c r="Q13" s="15">
        <v>5</v>
      </c>
    </row>
    <row r="14" spans="1:24" x14ac:dyDescent="0.3">
      <c r="B14" t="s">
        <v>220</v>
      </c>
      <c r="C14" s="1">
        <v>0.2</v>
      </c>
      <c r="D14" s="1">
        <v>0.2</v>
      </c>
      <c r="E14" t="s">
        <v>207</v>
      </c>
      <c r="G14" s="89">
        <v>0.5</v>
      </c>
      <c r="H14" s="88">
        <v>3</v>
      </c>
      <c r="I14" s="88">
        <v>3</v>
      </c>
      <c r="N14" s="13"/>
      <c r="O14" s="14"/>
    </row>
    <row r="15" spans="1:24" x14ac:dyDescent="0.3">
      <c r="B15" t="s">
        <v>221</v>
      </c>
      <c r="C15" s="1">
        <v>1</v>
      </c>
      <c r="D15" s="1">
        <v>0.4</v>
      </c>
      <c r="E15" t="s">
        <v>193</v>
      </c>
      <c r="G15" s="89">
        <v>0.6</v>
      </c>
      <c r="H15" s="88">
        <v>3</v>
      </c>
      <c r="I15" s="88">
        <v>3</v>
      </c>
    </row>
    <row r="16" spans="1:24" x14ac:dyDescent="0.3">
      <c r="B16" t="s">
        <v>222</v>
      </c>
      <c r="C16" s="1">
        <v>0.8</v>
      </c>
      <c r="D16" s="1">
        <v>0.4</v>
      </c>
      <c r="E16" t="s">
        <v>39</v>
      </c>
      <c r="G16" s="89">
        <v>0.7</v>
      </c>
      <c r="H16" s="88">
        <v>2</v>
      </c>
      <c r="I16" s="88">
        <v>4</v>
      </c>
      <c r="N16" s="13"/>
      <c r="O16" s="14"/>
    </row>
    <row r="17" spans="2:9" x14ac:dyDescent="0.3">
      <c r="B17" t="s">
        <v>223</v>
      </c>
      <c r="C17" s="1">
        <v>0.6</v>
      </c>
      <c r="D17" s="1">
        <v>0.4</v>
      </c>
      <c r="E17" t="s">
        <v>39</v>
      </c>
      <c r="G17" s="89">
        <v>0.8</v>
      </c>
      <c r="H17" s="88">
        <v>2</v>
      </c>
      <c r="I17" s="88">
        <v>4</v>
      </c>
    </row>
    <row r="18" spans="2:9" x14ac:dyDescent="0.3">
      <c r="B18" t="s">
        <v>224</v>
      </c>
      <c r="C18" s="1">
        <v>0.4</v>
      </c>
      <c r="D18" s="1">
        <v>0.4</v>
      </c>
      <c r="E18" t="s">
        <v>39</v>
      </c>
      <c r="G18" s="89">
        <v>0.9</v>
      </c>
      <c r="H18" s="88">
        <v>1</v>
      </c>
      <c r="I18" s="88">
        <v>5</v>
      </c>
    </row>
    <row r="19" spans="2:9" x14ac:dyDescent="0.3">
      <c r="B19" t="s">
        <v>225</v>
      </c>
      <c r="C19" s="1">
        <v>0.2</v>
      </c>
      <c r="D19" s="1">
        <v>0.4</v>
      </c>
      <c r="E19" t="s">
        <v>207</v>
      </c>
      <c r="G19" s="89">
        <v>1</v>
      </c>
      <c r="H19" s="88">
        <v>1</v>
      </c>
      <c r="I19" s="88">
        <v>5</v>
      </c>
    </row>
    <row r="20" spans="2:9" x14ac:dyDescent="0.3">
      <c r="B20" t="s">
        <v>226</v>
      </c>
      <c r="C20" s="1">
        <v>1</v>
      </c>
      <c r="D20" s="1">
        <v>0.6</v>
      </c>
      <c r="E20" t="s">
        <v>193</v>
      </c>
    </row>
    <row r="21" spans="2:9" x14ac:dyDescent="0.3">
      <c r="B21" t="s">
        <v>227</v>
      </c>
      <c r="C21" s="1">
        <v>0.8</v>
      </c>
      <c r="D21" s="1">
        <v>0.6</v>
      </c>
      <c r="E21" t="s">
        <v>193</v>
      </c>
    </row>
    <row r="22" spans="2:9" x14ac:dyDescent="0.3">
      <c r="B22" t="s">
        <v>228</v>
      </c>
      <c r="C22" s="1">
        <v>0.6</v>
      </c>
      <c r="D22" s="1">
        <v>0.6</v>
      </c>
      <c r="E22" t="s">
        <v>39</v>
      </c>
    </row>
    <row r="23" spans="2:9" x14ac:dyDescent="0.3">
      <c r="B23" t="s">
        <v>229</v>
      </c>
      <c r="C23" s="1">
        <v>0.4</v>
      </c>
      <c r="D23" s="1">
        <v>0.6</v>
      </c>
      <c r="E23" t="s">
        <v>39</v>
      </c>
    </row>
    <row r="24" spans="2:9" x14ac:dyDescent="0.3">
      <c r="B24" t="s">
        <v>230</v>
      </c>
      <c r="C24" s="1">
        <v>0.2</v>
      </c>
      <c r="D24" s="1">
        <v>0.6</v>
      </c>
      <c r="E24" t="s">
        <v>39</v>
      </c>
    </row>
    <row r="25" spans="2:9" x14ac:dyDescent="0.3">
      <c r="B25" t="s">
        <v>231</v>
      </c>
      <c r="C25" s="1">
        <v>1</v>
      </c>
      <c r="D25" s="1">
        <v>0.8</v>
      </c>
      <c r="E25" t="s">
        <v>193</v>
      </c>
    </row>
    <row r="26" spans="2:9" x14ac:dyDescent="0.3">
      <c r="B26" t="s">
        <v>232</v>
      </c>
      <c r="C26" s="1">
        <v>0.8</v>
      </c>
      <c r="D26" s="1">
        <v>0.8</v>
      </c>
      <c r="E26" t="s">
        <v>193</v>
      </c>
    </row>
    <row r="27" spans="2:9" x14ac:dyDescent="0.3">
      <c r="B27" t="s">
        <v>233</v>
      </c>
      <c r="C27" s="1">
        <v>0.6</v>
      </c>
      <c r="D27" s="1">
        <v>0.8</v>
      </c>
      <c r="E27" t="s">
        <v>193</v>
      </c>
    </row>
    <row r="28" spans="2:9" x14ac:dyDescent="0.3">
      <c r="B28" t="s">
        <v>234</v>
      </c>
      <c r="C28" s="1">
        <v>0.4</v>
      </c>
      <c r="D28" s="1">
        <v>0.8</v>
      </c>
      <c r="E28" t="s">
        <v>193</v>
      </c>
    </row>
    <row r="29" spans="2:9" x14ac:dyDescent="0.3">
      <c r="B29" t="s">
        <v>235</v>
      </c>
      <c r="C29" s="1">
        <v>0.2</v>
      </c>
      <c r="D29" s="1">
        <v>0.8</v>
      </c>
      <c r="E29" t="s">
        <v>193</v>
      </c>
    </row>
    <row r="30" spans="2:9" x14ac:dyDescent="0.3">
      <c r="B30" t="s">
        <v>236</v>
      </c>
      <c r="C30" s="1">
        <v>1</v>
      </c>
      <c r="D30" s="1">
        <v>1</v>
      </c>
      <c r="E30" t="s">
        <v>194</v>
      </c>
    </row>
    <row r="31" spans="2:9" x14ac:dyDescent="0.3">
      <c r="B31" t="s">
        <v>237</v>
      </c>
      <c r="C31" s="1">
        <v>0.8</v>
      </c>
      <c r="D31" s="1">
        <v>1</v>
      </c>
      <c r="E31" t="s">
        <v>194</v>
      </c>
    </row>
    <row r="32" spans="2:9" x14ac:dyDescent="0.3">
      <c r="B32" t="s">
        <v>238</v>
      </c>
      <c r="C32" s="1">
        <v>0.6</v>
      </c>
      <c r="D32" s="1">
        <v>1</v>
      </c>
      <c r="E32" t="s">
        <v>194</v>
      </c>
    </row>
    <row r="33" spans="2:5" x14ac:dyDescent="0.3">
      <c r="B33" t="s">
        <v>239</v>
      </c>
      <c r="C33" s="1">
        <v>0.4</v>
      </c>
      <c r="D33" s="1">
        <v>1</v>
      </c>
      <c r="E33" t="s">
        <v>194</v>
      </c>
    </row>
    <row r="34" spans="2:5" x14ac:dyDescent="0.3">
      <c r="B34" t="s">
        <v>240</v>
      </c>
      <c r="C34" s="1">
        <v>0.2</v>
      </c>
      <c r="D34" s="1">
        <v>1</v>
      </c>
      <c r="E34" t="s">
        <v>194</v>
      </c>
    </row>
    <row r="45" spans="2:5" x14ac:dyDescent="0.3">
      <c r="B45" t="s">
        <v>226</v>
      </c>
      <c r="C45" t="s">
        <v>39</v>
      </c>
      <c r="D45" s="16"/>
    </row>
    <row r="46" spans="2:5" x14ac:dyDescent="0.3">
      <c r="B46" t="s">
        <v>231</v>
      </c>
      <c r="C46" t="s">
        <v>193</v>
      </c>
      <c r="D46" s="16"/>
    </row>
    <row r="47" spans="2:5" x14ac:dyDescent="0.3">
      <c r="B47" t="s">
        <v>236</v>
      </c>
      <c r="C47" t="s">
        <v>194</v>
      </c>
      <c r="D47" s="16"/>
    </row>
    <row r="48" spans="2:5" x14ac:dyDescent="0.3">
      <c r="B48" t="s">
        <v>227</v>
      </c>
      <c r="C48" t="s">
        <v>39</v>
      </c>
      <c r="D48" s="16"/>
    </row>
    <row r="49" spans="2:4" x14ac:dyDescent="0.3">
      <c r="B49" t="s">
        <v>232</v>
      </c>
      <c r="C49" t="s">
        <v>193</v>
      </c>
      <c r="D49" s="16"/>
    </row>
    <row r="50" spans="2:4" x14ac:dyDescent="0.3">
      <c r="B50" t="s">
        <v>237</v>
      </c>
      <c r="C50" t="s">
        <v>194</v>
      </c>
      <c r="D50" s="16"/>
    </row>
    <row r="51" spans="2:4" x14ac:dyDescent="0.3">
      <c r="B51" t="s">
        <v>228</v>
      </c>
      <c r="C51" t="s">
        <v>193</v>
      </c>
      <c r="D51" s="16"/>
    </row>
    <row r="52" spans="2:4" x14ac:dyDescent="0.3">
      <c r="B52" t="s">
        <v>233</v>
      </c>
      <c r="C52" t="s">
        <v>194</v>
      </c>
      <c r="D52" s="16"/>
    </row>
    <row r="53" spans="2:4" x14ac:dyDescent="0.3">
      <c r="B53" t="s">
        <v>238</v>
      </c>
      <c r="C53" t="s">
        <v>194</v>
      </c>
      <c r="D53" s="16"/>
    </row>
    <row r="54" spans="2:4" x14ac:dyDescent="0.3">
      <c r="B54" t="s">
        <v>229</v>
      </c>
      <c r="C54" t="s">
        <v>193</v>
      </c>
      <c r="D54" s="16"/>
    </row>
    <row r="55" spans="2:4" x14ac:dyDescent="0.3">
      <c r="B55" t="s">
        <v>234</v>
      </c>
      <c r="C55" t="s">
        <v>194</v>
      </c>
      <c r="D55" s="16"/>
    </row>
    <row r="56" spans="2:4" x14ac:dyDescent="0.3">
      <c r="B56" t="s">
        <v>239</v>
      </c>
      <c r="C56" t="s">
        <v>194</v>
      </c>
      <c r="D56" s="16"/>
    </row>
    <row r="57" spans="2:4" x14ac:dyDescent="0.3">
      <c r="B57" t="s">
        <v>230</v>
      </c>
      <c r="C57" t="s">
        <v>194</v>
      </c>
      <c r="D57" s="16"/>
    </row>
    <row r="58" spans="2:4" x14ac:dyDescent="0.3">
      <c r="B58" t="s">
        <v>235</v>
      </c>
      <c r="C58" t="s">
        <v>194</v>
      </c>
      <c r="D58" s="16"/>
    </row>
    <row r="59" spans="2:4" x14ac:dyDescent="0.3">
      <c r="B59" t="s">
        <v>240</v>
      </c>
      <c r="C59" t="s">
        <v>194</v>
      </c>
      <c r="D59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941E-5D9E-4A82-AFF7-34DC73B9313A}">
  <dimension ref="A1:CH20"/>
  <sheetViews>
    <sheetView showGridLines="0" zoomScale="85" zoomScaleNormal="85" workbookViewId="0">
      <selection sqref="A1:Y4"/>
    </sheetView>
  </sheetViews>
  <sheetFormatPr baseColWidth="10" defaultColWidth="0" defaultRowHeight="14.4" zeroHeight="1" x14ac:dyDescent="0.3"/>
  <cols>
    <col min="1" max="1" width="26" customWidth="1"/>
    <col min="2" max="2" width="20.6640625" customWidth="1"/>
    <col min="3" max="6" width="27.109375" customWidth="1"/>
    <col min="7" max="7" width="26.6640625" customWidth="1"/>
    <col min="8" max="8" width="38.88671875" customWidth="1"/>
    <col min="9" max="9" width="27.33203125" customWidth="1"/>
    <col min="10" max="10" width="38.109375" customWidth="1"/>
    <col min="11" max="11" width="42.44140625" customWidth="1"/>
    <col min="12" max="12" width="15.109375" customWidth="1"/>
    <col min="13" max="13" width="32.44140625" customWidth="1"/>
    <col min="14" max="14" width="11.44140625" customWidth="1"/>
    <col min="15" max="15" width="28.33203125" customWidth="1"/>
    <col min="16" max="16" width="15.33203125" bestFit="1" customWidth="1"/>
    <col min="17" max="17" width="7.6640625" customWidth="1"/>
    <col min="18" max="18" width="28.33203125" customWidth="1"/>
    <col min="19" max="19" width="15.33203125" bestFit="1" customWidth="1"/>
    <col min="20" max="20" width="7.5546875" customWidth="1"/>
    <col min="21" max="21" width="29.6640625" customWidth="1"/>
    <col min="22" max="22" width="11.44140625" customWidth="1"/>
    <col min="23" max="23" width="15.88671875" customWidth="1"/>
    <col min="24" max="24" width="16.5546875" customWidth="1"/>
    <col min="25" max="25" width="18.5546875" customWidth="1"/>
    <col min="26" max="26" width="6.5546875" customWidth="1"/>
    <col min="27" max="86" width="0" hidden="1" customWidth="1"/>
    <col min="87" max="16384" width="11.44140625" hidden="1"/>
  </cols>
  <sheetData>
    <row r="1" spans="1:84" s="90" customFormat="1" ht="18.75" customHeight="1" x14ac:dyDescent="0.3">
      <c r="A1" s="323" t="s">
        <v>241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5"/>
      <c r="Z1" s="91"/>
      <c r="AA1" s="92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</row>
    <row r="2" spans="1:84" s="90" customFormat="1" ht="18.75" customHeight="1" x14ac:dyDescent="0.3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8"/>
      <c r="Z2" s="91"/>
      <c r="AA2" s="92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</row>
    <row r="3" spans="1:84" s="90" customFormat="1" ht="18.75" customHeight="1" x14ac:dyDescent="0.3">
      <c r="A3" s="326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8"/>
      <c r="Z3" s="91"/>
      <c r="AA3" s="92"/>
      <c r="AD3" s="94"/>
      <c r="AE3" s="94"/>
      <c r="AF3" s="94"/>
      <c r="AG3" s="94"/>
      <c r="AH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X3" s="94"/>
      <c r="BY3" s="94"/>
      <c r="BZ3" s="94"/>
      <c r="CA3" s="94"/>
      <c r="CB3" s="94"/>
      <c r="CC3" s="94"/>
      <c r="CD3" s="95"/>
      <c r="CE3" s="95"/>
      <c r="CF3" s="95"/>
    </row>
    <row r="4" spans="1:84" s="90" customFormat="1" ht="33.75" customHeight="1" x14ac:dyDescent="0.3">
      <c r="A4" s="329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1"/>
      <c r="Z4" s="91"/>
      <c r="AA4" s="92"/>
      <c r="AD4" s="94"/>
      <c r="AE4" s="94"/>
      <c r="AF4" s="94"/>
      <c r="AG4" s="94"/>
      <c r="AH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X4" s="94"/>
      <c r="BY4" s="94"/>
      <c r="BZ4" s="94"/>
      <c r="CA4" s="94"/>
      <c r="CB4" s="94"/>
      <c r="CC4" s="94"/>
      <c r="CD4" s="95"/>
      <c r="CE4" s="95"/>
      <c r="CF4" s="95"/>
    </row>
    <row r="5" spans="1:84" s="90" customFormat="1" ht="9" customHeight="1" x14ac:dyDescent="0.3">
      <c r="C5" s="96"/>
      <c r="D5" s="96"/>
      <c r="E5" s="96"/>
      <c r="F5" s="96"/>
    </row>
    <row r="6" spans="1:84" s="90" customFormat="1" ht="39.75" customHeight="1" x14ac:dyDescent="0.3">
      <c r="A6" s="334" t="s">
        <v>242</v>
      </c>
      <c r="B6" s="334"/>
      <c r="C6" s="334"/>
      <c r="D6" s="338" t="s">
        <v>243</v>
      </c>
      <c r="E6" s="340"/>
      <c r="F6" s="338" t="s">
        <v>244</v>
      </c>
      <c r="G6" s="339"/>
      <c r="H6" s="339"/>
      <c r="I6" s="339"/>
      <c r="J6" s="340"/>
      <c r="K6" s="338" t="s">
        <v>245</v>
      </c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40"/>
      <c r="W6" s="332" t="s">
        <v>246</v>
      </c>
      <c r="X6" s="332" t="s">
        <v>247</v>
      </c>
      <c r="Y6" s="332" t="s">
        <v>248</v>
      </c>
      <c r="AC6" s="97"/>
    </row>
    <row r="7" spans="1:84" s="90" customFormat="1" ht="52.8" x14ac:dyDescent="0.3">
      <c r="A7" s="223" t="s">
        <v>249</v>
      </c>
      <c r="B7" s="223" t="s">
        <v>115</v>
      </c>
      <c r="C7" s="223" t="s">
        <v>250</v>
      </c>
      <c r="D7" s="223" t="s">
        <v>251</v>
      </c>
      <c r="E7" s="223" t="s">
        <v>252</v>
      </c>
      <c r="F7" s="223" t="s">
        <v>253</v>
      </c>
      <c r="G7" s="223" t="s">
        <v>254</v>
      </c>
      <c r="H7" s="223" t="s">
        <v>255</v>
      </c>
      <c r="I7" s="223" t="s">
        <v>256</v>
      </c>
      <c r="J7" s="223" t="s">
        <v>257</v>
      </c>
      <c r="K7" s="335" t="s">
        <v>258</v>
      </c>
      <c r="L7" s="336"/>
      <c r="M7" s="336"/>
      <c r="N7" s="337"/>
      <c r="O7" s="333" t="s">
        <v>259</v>
      </c>
      <c r="P7" s="333"/>
      <c r="Q7" s="333"/>
      <c r="R7" s="333"/>
      <c r="S7" s="333"/>
      <c r="T7" s="333"/>
      <c r="U7" s="333"/>
      <c r="V7" s="333"/>
      <c r="W7" s="332"/>
      <c r="X7" s="332"/>
      <c r="Y7" s="332"/>
      <c r="Z7" s="144"/>
    </row>
    <row r="8" spans="1:84" s="165" customFormat="1" ht="13.8" x14ac:dyDescent="0.25">
      <c r="A8" s="238"/>
      <c r="B8" s="266"/>
      <c r="C8" s="291"/>
      <c r="D8" s="247"/>
      <c r="E8" s="240"/>
      <c r="F8" s="240"/>
      <c r="G8" s="291"/>
      <c r="H8" s="241"/>
      <c r="I8" s="241"/>
      <c r="J8" s="284" t="str">
        <f>IF(OR(G8=0,H8=0,I8=0),"",+CONCATENATE(G8," ","por"," ",H8," ","a causa de"," ",I8,"."))</f>
        <v/>
      </c>
      <c r="K8" s="240"/>
      <c r="L8" s="240"/>
      <c r="M8" s="242"/>
      <c r="N8" s="282" t="str">
        <f>IFERROR(VLOOKUP(M8,Hoja2!$J$3:$K$7,2,0),"")</f>
        <v/>
      </c>
      <c r="O8" s="247"/>
      <c r="P8" s="282" t="str">
        <f>IFERROR(VLOOKUP(O8,Hoja2!$B$3:$E$8,3,FALSE),"")</f>
        <v/>
      </c>
      <c r="Q8" s="282" t="str">
        <f>IFERROR(VLOOKUP(O8,Hoja2!$B$3:$E$8,4,FALSE),"")</f>
        <v/>
      </c>
      <c r="R8" s="246"/>
      <c r="S8" s="282" t="str">
        <f>IFERROR(VLOOKUP(R8,Hoja2!$C$3:$E$8,2,FALSE),"")</f>
        <v/>
      </c>
      <c r="T8" s="282" t="str">
        <f>IFERROR(VLOOKUP(R8,Hoja2!$C$3:$E$8,3,FALSE),"")</f>
        <v/>
      </c>
      <c r="U8" s="283" t="str">
        <f>IF(AND(Q8="",T8=""),"",IF(Q8&gt;T8,O8,IF(Q8&lt;T8,R8,IF(Q8=T8,_xlfn.CONCAT(O8," y ",R8,"")))))</f>
        <v/>
      </c>
      <c r="V8" s="282" t="str">
        <f>IF(AND(Q8="",T8=""),"",MAX(Q8,T8))</f>
        <v/>
      </c>
      <c r="W8" s="282" t="str">
        <f>IFERROR(VLOOKUP('Identificación de Riesgos'!N8:N8,Probabilidad!$A$4:$B$8,2,0),"")</f>
        <v/>
      </c>
      <c r="X8" s="282" t="str">
        <f>IFERROR(VLOOKUP(V8,'Impacto Procesos'!$C$5:$F$9,4,0),"")</f>
        <v/>
      </c>
      <c r="Y8" s="282" t="str">
        <f>IFERROR(VLOOKUP(W8,Hoja2!$S$4:$X$8,MATCH(X8,Hoja2!$S$3:$X$3,0),0),"")</f>
        <v/>
      </c>
      <c r="Z8" s="166"/>
    </row>
    <row r="9" spans="1:84" s="165" customFormat="1" ht="18" customHeight="1" x14ac:dyDescent="0.25">
      <c r="A9" s="238"/>
      <c r="B9" s="266"/>
      <c r="C9" s="291"/>
      <c r="D9" s="247"/>
      <c r="E9" s="294"/>
      <c r="F9" s="240"/>
      <c r="G9" s="291"/>
      <c r="H9" s="241"/>
      <c r="I9" s="241"/>
      <c r="J9" s="284" t="str">
        <f t="shared" ref="J9:J17" si="0">IF(OR(G9=0,H9=0,I9=0),"",+CONCATENATE(G9," ","por"," ",H9," ","a causa de"," ",I9,"."))</f>
        <v/>
      </c>
      <c r="K9" s="240"/>
      <c r="L9" s="240"/>
      <c r="M9" s="242"/>
      <c r="N9" s="282" t="str">
        <f>IFERROR(VLOOKUP(M9,Probabilidad!$C$4:$D$8,2,0),"")</f>
        <v/>
      </c>
      <c r="O9" s="242"/>
      <c r="P9" s="282" t="str">
        <f>IFERROR(VLOOKUP(O9,Hoja2!$B$3:$E$8,3,FALSE),"")</f>
        <v/>
      </c>
      <c r="Q9" s="282" t="str">
        <f>IFERROR(VLOOKUP(O9,Hoja2!$B$3:$E$8,4,FALSE),"")</f>
        <v/>
      </c>
      <c r="R9" s="244"/>
      <c r="S9" s="282" t="str">
        <f>IFERROR(VLOOKUP(R9,Hoja2!$C$3:$E$8,2,FALSE),"")</f>
        <v/>
      </c>
      <c r="T9" s="282" t="str">
        <f>IFERROR(VLOOKUP(R9,Hoja2!$C$3:$E$8,3,FALSE),"")</f>
        <v/>
      </c>
      <c r="U9" s="283" t="str">
        <f t="shared" ref="U9:U19" si="1">IF(AND(Q9="",T9=""),"",IF(Q9&gt;T9,O9,IF(Q9&lt;T9,R9,IF(Q9=T9,_xlfn.CONCAT(O9," y ",R9,"")))))</f>
        <v/>
      </c>
      <c r="V9" s="282" t="str">
        <f t="shared" ref="V9:V19" si="2">IF(AND(Q9="",T9=""),"",MAX(Q9,T9))</f>
        <v/>
      </c>
      <c r="W9" s="282" t="str">
        <f>IFERROR(VLOOKUP('Identificación de Riesgos'!N9:N9,Probabilidad!$A$4:$B$8,2,0),"")</f>
        <v/>
      </c>
      <c r="X9" s="282" t="str">
        <f>IFERROR(VLOOKUP(V9,'Impacto Procesos'!$C$5:$F$9,4,0),"")</f>
        <v/>
      </c>
      <c r="Y9" s="282" t="str">
        <f>IFERROR(VLOOKUP(W9,Hoja2!$S$4:$X$8,MATCH(X9,Hoja2!$S$3:$X$3,0),0),"")</f>
        <v/>
      </c>
      <c r="Z9" s="166"/>
    </row>
    <row r="10" spans="1:84" s="165" customFormat="1" ht="18" customHeight="1" x14ac:dyDescent="0.25">
      <c r="A10" s="238"/>
      <c r="B10" s="266"/>
      <c r="C10" s="291"/>
      <c r="D10" s="247"/>
      <c r="E10" s="294"/>
      <c r="F10" s="240"/>
      <c r="G10" s="291"/>
      <c r="H10" s="241"/>
      <c r="I10" s="241"/>
      <c r="J10" s="284" t="str">
        <f>IF(OR(G10=0,H10=0,I10=0),"",+CONCATENATE(G10," ","por"," ",H10," ","a causa de"," ",I10,"."))</f>
        <v/>
      </c>
      <c r="K10" s="240"/>
      <c r="L10" s="240"/>
      <c r="M10" s="242"/>
      <c r="N10" s="282" t="str">
        <f>IFERROR(VLOOKUP(M10,Probabilidad!$C$4:$D$8,2,0),"")</f>
        <v/>
      </c>
      <c r="O10" s="242"/>
      <c r="P10" s="282" t="str">
        <f>IFERROR(VLOOKUP(O10,Hoja2!$B$3:$E$8,3,FALSE),"")</f>
        <v/>
      </c>
      <c r="Q10" s="282" t="str">
        <f>IFERROR(VLOOKUP(O10,Hoja2!$B$3:$E$8,4,FALSE),"")</f>
        <v/>
      </c>
      <c r="R10" s="244"/>
      <c r="S10" s="282" t="str">
        <f>IFERROR(VLOOKUP(R10,Hoja2!$C$3:$E$8,2,FALSE),"")</f>
        <v/>
      </c>
      <c r="T10" s="282" t="str">
        <f>IFERROR(VLOOKUP(R10,Hoja2!$C$3:$E$8,3,FALSE),"")</f>
        <v/>
      </c>
      <c r="U10" s="283" t="str">
        <f t="shared" si="1"/>
        <v/>
      </c>
      <c r="V10" s="282" t="str">
        <f t="shared" si="2"/>
        <v/>
      </c>
      <c r="W10" s="282" t="str">
        <f>IFERROR(VLOOKUP('Identificación de Riesgos'!N10:N10,Probabilidad!$A$4:$B$8,2,0),"")</f>
        <v/>
      </c>
      <c r="X10" s="282" t="str">
        <f>IFERROR(VLOOKUP(V10,'Impacto Procesos'!$C$5:$F$9,4,0),"")</f>
        <v/>
      </c>
      <c r="Y10" s="282" t="str">
        <f>IFERROR(VLOOKUP(W10,Hoja2!$S$4:$X$8,MATCH(X10,Hoja2!$S$3:$X$3,0),0),"")</f>
        <v/>
      </c>
      <c r="Z10" s="166"/>
    </row>
    <row r="11" spans="1:84" s="165" customFormat="1" ht="18" customHeight="1" x14ac:dyDescent="0.25">
      <c r="A11" s="238"/>
      <c r="B11" s="266"/>
      <c r="C11" s="291"/>
      <c r="D11" s="247"/>
      <c r="E11" s="298"/>
      <c r="F11" s="240"/>
      <c r="G11" s="291"/>
      <c r="H11" s="241"/>
      <c r="I11" s="241"/>
      <c r="J11" s="284" t="str">
        <f t="shared" si="0"/>
        <v/>
      </c>
      <c r="K11" s="240"/>
      <c r="L11" s="240"/>
      <c r="M11" s="242"/>
      <c r="N11" s="282" t="str">
        <f>IFERROR(VLOOKUP(M11,Probabilidad!$C$4:$D$8,2,0),"")</f>
        <v/>
      </c>
      <c r="O11" s="242"/>
      <c r="P11" s="282" t="str">
        <f>IFERROR(VLOOKUP(O11,Hoja2!$B$3:$E$8,3,FALSE),"")</f>
        <v/>
      </c>
      <c r="Q11" s="282" t="str">
        <f>IFERROR(VLOOKUP(O11,Hoja2!$B$3:$E$8,4,FALSE),"")</f>
        <v/>
      </c>
      <c r="R11" s="244"/>
      <c r="S11" s="282" t="str">
        <f>IFERROR(VLOOKUP(R11,Hoja2!$C$3:$E$8,2,FALSE),"")</f>
        <v/>
      </c>
      <c r="T11" s="282" t="str">
        <f>IFERROR(VLOOKUP(R11,Hoja2!$C$3:$E$8,3,FALSE),"")</f>
        <v/>
      </c>
      <c r="U11" s="283" t="str">
        <f t="shared" si="1"/>
        <v/>
      </c>
      <c r="V11" s="282" t="str">
        <f t="shared" si="2"/>
        <v/>
      </c>
      <c r="W11" s="282" t="str">
        <f>IFERROR(VLOOKUP('Identificación de Riesgos'!N11:N11,Probabilidad!$A$4:$B$8,2,0),"")</f>
        <v/>
      </c>
      <c r="X11" s="282" t="str">
        <f>IFERROR(VLOOKUP(V11,'Impacto Procesos'!$C$5:$F$9,4,0),"")</f>
        <v/>
      </c>
      <c r="Y11" s="282" t="str">
        <f>IFERROR(VLOOKUP(W11,Hoja2!$S$4:$X$8,MATCH(X11,Hoja2!$S$3:$X$3,0),0),"")</f>
        <v/>
      </c>
      <c r="Z11" s="166"/>
    </row>
    <row r="12" spans="1:84" s="165" customFormat="1" ht="18" customHeight="1" x14ac:dyDescent="0.25">
      <c r="A12" s="238"/>
      <c r="B12" s="266"/>
      <c r="C12" s="291"/>
      <c r="D12" s="247"/>
      <c r="E12" s="294"/>
      <c r="F12" s="240"/>
      <c r="G12" s="291"/>
      <c r="H12" s="241"/>
      <c r="I12" s="241"/>
      <c r="J12" s="284" t="str">
        <f t="shared" si="0"/>
        <v/>
      </c>
      <c r="K12" s="240"/>
      <c r="L12" s="240"/>
      <c r="M12" s="242"/>
      <c r="N12" s="282" t="str">
        <f>IFERROR(VLOOKUP(M12,Probabilidad!$C$4:$D$8,2,0),"")</f>
        <v/>
      </c>
      <c r="O12" s="242"/>
      <c r="P12" s="282" t="str">
        <f>IFERROR(VLOOKUP(O12,Hoja2!$B$3:$E$8,3,FALSE),"")</f>
        <v/>
      </c>
      <c r="Q12" s="282" t="str">
        <f>IFERROR(VLOOKUP(O12,Hoja2!$B$3:$E$8,4,FALSE),"")</f>
        <v/>
      </c>
      <c r="R12" s="244"/>
      <c r="S12" s="282" t="str">
        <f>IFERROR(VLOOKUP(R12,Hoja2!$C$3:$E$8,2,FALSE),"")</f>
        <v/>
      </c>
      <c r="T12" s="282" t="str">
        <f>IFERROR(VLOOKUP(R12,Hoja2!$C$3:$E$8,3,FALSE),"")</f>
        <v/>
      </c>
      <c r="U12" s="283" t="str">
        <f t="shared" si="1"/>
        <v/>
      </c>
      <c r="V12" s="282" t="str">
        <f t="shared" si="2"/>
        <v/>
      </c>
      <c r="W12" s="282" t="str">
        <f>IFERROR(VLOOKUP('Identificación de Riesgos'!N12:N12,Probabilidad!$A$4:$B$8,2,0),"")</f>
        <v/>
      </c>
      <c r="X12" s="282" t="str">
        <f>IFERROR(VLOOKUP(V12,'Impacto Procesos'!$C$5:$F$9,4,0),"")</f>
        <v/>
      </c>
      <c r="Y12" s="282" t="str">
        <f>IFERROR(VLOOKUP(W12,Hoja2!$S$4:$X$8,MATCH(X12,Hoja2!$S$3:$X$3,0),0),"")</f>
        <v/>
      </c>
      <c r="Z12" s="166"/>
    </row>
    <row r="13" spans="1:84" s="165" customFormat="1" ht="18" customHeight="1" x14ac:dyDescent="0.25">
      <c r="A13" s="238"/>
      <c r="B13" s="266"/>
      <c r="C13" s="291"/>
      <c r="D13" s="247"/>
      <c r="E13" s="294"/>
      <c r="F13" s="240"/>
      <c r="G13" s="291"/>
      <c r="H13" s="241"/>
      <c r="I13" s="241"/>
      <c r="J13" s="284" t="str">
        <f t="shared" si="0"/>
        <v/>
      </c>
      <c r="K13" s="240"/>
      <c r="L13" s="240"/>
      <c r="M13" s="242"/>
      <c r="N13" s="282" t="str">
        <f>IFERROR(VLOOKUP(M13,Probabilidad!$C$4:$D$8,2,0),"")</f>
        <v/>
      </c>
      <c r="O13" s="242"/>
      <c r="P13" s="282" t="str">
        <f>IFERROR(VLOOKUP(O13,Hoja2!$B$3:$E$8,3,FALSE),"")</f>
        <v/>
      </c>
      <c r="Q13" s="282" t="str">
        <f>IFERROR(VLOOKUP(O13,Hoja2!$B$3:$E$8,4,FALSE),"")</f>
        <v/>
      </c>
      <c r="R13" s="244"/>
      <c r="S13" s="282" t="str">
        <f>IFERROR(VLOOKUP(R13,Hoja2!$C$3:$E$8,2,FALSE),"")</f>
        <v/>
      </c>
      <c r="T13" s="282" t="str">
        <f>IFERROR(VLOOKUP(R13,Hoja2!$C$3:$E$8,3,FALSE),"")</f>
        <v/>
      </c>
      <c r="U13" s="283" t="str">
        <f t="shared" si="1"/>
        <v/>
      </c>
      <c r="V13" s="282" t="str">
        <f t="shared" si="2"/>
        <v/>
      </c>
      <c r="W13" s="282" t="str">
        <f>IFERROR(VLOOKUP('Identificación de Riesgos'!N13:N13,Probabilidad!$A$4:$B$8,2,0),"")</f>
        <v/>
      </c>
      <c r="X13" s="282" t="str">
        <f>IFERROR(VLOOKUP(V13,'Impacto Procesos'!$C$5:$F$9,4,0),"")</f>
        <v/>
      </c>
      <c r="Y13" s="282" t="str">
        <f>IFERROR(VLOOKUP(W13,Hoja2!$S$4:$X$8,MATCH(X13,Hoja2!$S$3:$X$3,0),0),"")</f>
        <v/>
      </c>
      <c r="Z13" s="166"/>
    </row>
    <row r="14" spans="1:84" s="165" customFormat="1" ht="18" customHeight="1" x14ac:dyDescent="0.25">
      <c r="A14" s="238"/>
      <c r="B14" s="266"/>
      <c r="C14" s="291"/>
      <c r="D14" s="247"/>
      <c r="E14" s="294"/>
      <c r="F14" s="240"/>
      <c r="G14" s="291"/>
      <c r="H14" s="241"/>
      <c r="I14" s="241"/>
      <c r="J14" s="284" t="str">
        <f t="shared" si="0"/>
        <v/>
      </c>
      <c r="K14" s="240"/>
      <c r="L14" s="240"/>
      <c r="M14" s="242"/>
      <c r="N14" s="282" t="str">
        <f>IFERROR(VLOOKUP(M14,Probabilidad!$C$4:$D$8,2,0),"")</f>
        <v/>
      </c>
      <c r="O14" s="242"/>
      <c r="P14" s="282" t="str">
        <f>IFERROR(VLOOKUP(O14,Hoja2!$B$3:$E$8,3,FALSE),"")</f>
        <v/>
      </c>
      <c r="Q14" s="282" t="str">
        <f>IFERROR(VLOOKUP(O14,Hoja2!$B$3:$E$8,4,FALSE),"")</f>
        <v/>
      </c>
      <c r="R14" s="244"/>
      <c r="S14" s="282" t="str">
        <f>IFERROR(VLOOKUP(R14,Hoja2!$C$3:$E$8,2,FALSE),"")</f>
        <v/>
      </c>
      <c r="T14" s="282" t="str">
        <f>IFERROR(VLOOKUP(R14,Hoja2!$C$3:$E$8,3,FALSE),"")</f>
        <v/>
      </c>
      <c r="U14" s="283" t="str">
        <f t="shared" si="1"/>
        <v/>
      </c>
      <c r="V14" s="282" t="str">
        <f t="shared" si="2"/>
        <v/>
      </c>
      <c r="W14" s="282" t="str">
        <f>IFERROR(VLOOKUP('Identificación de Riesgos'!N14:N14,Probabilidad!$A$4:$B$8,2,0),"")</f>
        <v/>
      </c>
      <c r="X14" s="282" t="str">
        <f>IFERROR(VLOOKUP(V14,'Impacto Procesos'!$C$5:$F$9,4,0),"")</f>
        <v/>
      </c>
      <c r="Y14" s="282" t="str">
        <f>IFERROR(VLOOKUP(W14,Hoja2!$S$4:$X$8,MATCH(X14,Hoja2!$S$3:$X$3,0),0),"")</f>
        <v/>
      </c>
      <c r="Z14" s="166"/>
    </row>
    <row r="15" spans="1:84" s="165" customFormat="1" ht="18" customHeight="1" x14ac:dyDescent="0.25">
      <c r="A15" s="238"/>
      <c r="B15" s="266"/>
      <c r="C15" s="291"/>
      <c r="D15" s="247"/>
      <c r="E15" s="294"/>
      <c r="F15" s="240"/>
      <c r="G15" s="291"/>
      <c r="H15" s="241"/>
      <c r="I15" s="241"/>
      <c r="J15" s="284" t="str">
        <f t="shared" si="0"/>
        <v/>
      </c>
      <c r="K15" s="240"/>
      <c r="L15" s="240"/>
      <c r="M15" s="242"/>
      <c r="N15" s="282" t="str">
        <f>IFERROR(VLOOKUP(M15,Probabilidad!$C$4:$D$8,2,0),"")</f>
        <v/>
      </c>
      <c r="O15" s="242"/>
      <c r="P15" s="282" t="str">
        <f>IFERROR(VLOOKUP(O15,Hoja2!$B$3:$E$8,3,FALSE),"")</f>
        <v/>
      </c>
      <c r="Q15" s="282" t="str">
        <f>IFERROR(VLOOKUP(O15,Hoja2!$B$3:$E$8,4,FALSE),"")</f>
        <v/>
      </c>
      <c r="R15" s="244"/>
      <c r="S15" s="282" t="str">
        <f>IFERROR(VLOOKUP(R15,Hoja2!$C$3:$E$8,2,FALSE),"")</f>
        <v/>
      </c>
      <c r="T15" s="282" t="str">
        <f>IFERROR(VLOOKUP(R15,Hoja2!$C$3:$E$8,3,FALSE),"")</f>
        <v/>
      </c>
      <c r="U15" s="283" t="str">
        <f t="shared" si="1"/>
        <v/>
      </c>
      <c r="V15" s="282" t="str">
        <f t="shared" si="2"/>
        <v/>
      </c>
      <c r="W15" s="282" t="str">
        <f>IFERROR(VLOOKUP('Identificación de Riesgos'!N15:N15,Probabilidad!$A$4:$B$8,2,0),"")</f>
        <v/>
      </c>
      <c r="X15" s="282" t="str">
        <f>IFERROR(VLOOKUP(V15,'Impacto Procesos'!$C$5:$F$9,4,0),"")</f>
        <v/>
      </c>
      <c r="Y15" s="282" t="str">
        <f>IFERROR(VLOOKUP(W15,Hoja2!$S$4:$X$8,MATCH(X15,Hoja2!$S$3:$X$3,0),0),"")</f>
        <v/>
      </c>
      <c r="Z15" s="166"/>
    </row>
    <row r="16" spans="1:84" s="165" customFormat="1" ht="18" customHeight="1" x14ac:dyDescent="0.25">
      <c r="A16" s="238"/>
      <c r="B16" s="266"/>
      <c r="C16" s="291"/>
      <c r="D16" s="247"/>
      <c r="E16" s="294"/>
      <c r="F16" s="240"/>
      <c r="G16" s="291"/>
      <c r="H16" s="241"/>
      <c r="I16" s="241"/>
      <c r="J16" s="284" t="str">
        <f t="shared" si="0"/>
        <v/>
      </c>
      <c r="K16" s="240"/>
      <c r="L16" s="240"/>
      <c r="M16" s="242"/>
      <c r="N16" s="282" t="str">
        <f>IFERROR(VLOOKUP(M16,Probabilidad!$C$4:$D$8,2,0),"")</f>
        <v/>
      </c>
      <c r="O16" s="242"/>
      <c r="P16" s="282" t="str">
        <f>IFERROR(VLOOKUP(O16,Hoja2!$B$3:$E$8,3,FALSE),"")</f>
        <v/>
      </c>
      <c r="Q16" s="282" t="str">
        <f>IFERROR(VLOOKUP(O16,Hoja2!$B$3:$E$8,4,FALSE),"")</f>
        <v/>
      </c>
      <c r="R16" s="244"/>
      <c r="S16" s="282" t="str">
        <f>IFERROR(VLOOKUP(R16,Hoja2!$C$3:$E$8,2,FALSE),"")</f>
        <v/>
      </c>
      <c r="T16" s="282" t="str">
        <f>IFERROR(VLOOKUP(R16,Hoja2!$C$3:$E$8,3,FALSE),"")</f>
        <v/>
      </c>
      <c r="U16" s="283" t="str">
        <f t="shared" si="1"/>
        <v/>
      </c>
      <c r="V16" s="282" t="str">
        <f t="shared" si="2"/>
        <v/>
      </c>
      <c r="W16" s="282" t="str">
        <f>IFERROR(VLOOKUP('Identificación de Riesgos'!N16:N16,Probabilidad!$A$4:$B$8,2,0),"")</f>
        <v/>
      </c>
      <c r="X16" s="282" t="str">
        <f>IFERROR(VLOOKUP(V16,'Impacto Procesos'!$C$5:$F$9,4,0),"")</f>
        <v/>
      </c>
      <c r="Y16" s="282" t="str">
        <f>IFERROR(VLOOKUP(W16,Hoja2!$S$4:$X$8,MATCH(X16,Hoja2!$S$3:$X$3,0),0),"")</f>
        <v/>
      </c>
      <c r="Z16" s="166"/>
    </row>
    <row r="17" spans="1:26" s="165" customFormat="1" ht="18" customHeight="1" x14ac:dyDescent="0.25">
      <c r="A17" s="238"/>
      <c r="B17" s="266"/>
      <c r="C17" s="291"/>
      <c r="D17" s="247"/>
      <c r="E17" s="294"/>
      <c r="F17" s="240"/>
      <c r="G17" s="291"/>
      <c r="H17" s="241"/>
      <c r="I17" s="241"/>
      <c r="J17" s="284" t="str">
        <f t="shared" si="0"/>
        <v/>
      </c>
      <c r="K17" s="240"/>
      <c r="L17" s="240"/>
      <c r="M17" s="242"/>
      <c r="N17" s="282" t="str">
        <f>IFERROR(VLOOKUP(M17,Probabilidad!$C$4:$D$8,2,0),"")</f>
        <v/>
      </c>
      <c r="O17" s="242"/>
      <c r="P17" s="282" t="str">
        <f>IFERROR(VLOOKUP(O17,Hoja2!$B$3:$E$8,3,FALSE),"")</f>
        <v/>
      </c>
      <c r="Q17" s="282" t="str">
        <f>IFERROR(VLOOKUP(O17,Hoja2!$B$3:$E$8,4,FALSE),"")</f>
        <v/>
      </c>
      <c r="R17" s="244"/>
      <c r="S17" s="282" t="str">
        <f>IFERROR(VLOOKUP(R17,Hoja2!$C$3:$E$8,2,FALSE),"")</f>
        <v/>
      </c>
      <c r="T17" s="282" t="str">
        <f>IFERROR(VLOOKUP(R17,Hoja2!$C$3:$E$8,3,FALSE),"")</f>
        <v/>
      </c>
      <c r="U17" s="283" t="str">
        <f t="shared" si="1"/>
        <v/>
      </c>
      <c r="V17" s="282" t="str">
        <f t="shared" si="2"/>
        <v/>
      </c>
      <c r="W17" s="282" t="str">
        <f>IFERROR(VLOOKUP('Identificación de Riesgos'!N17:N17,Probabilidad!$A$4:$B$8,2,0),"")</f>
        <v/>
      </c>
      <c r="X17" s="282" t="str">
        <f>IFERROR(VLOOKUP(V17,'Impacto Procesos'!$C$5:$F$9,4,0),"")</f>
        <v/>
      </c>
      <c r="Y17" s="282" t="str">
        <f>IFERROR(VLOOKUP(W17,Hoja2!$S$4:$X$8,MATCH(X17,Hoja2!$S$3:$X$3,0),0),"")</f>
        <v/>
      </c>
      <c r="Z17" s="166"/>
    </row>
    <row r="18" spans="1:26" s="165" customFormat="1" ht="18" customHeight="1" x14ac:dyDescent="0.25">
      <c r="A18" s="238"/>
      <c r="B18" s="266"/>
      <c r="C18" s="291"/>
      <c r="D18" s="247"/>
      <c r="E18" s="294"/>
      <c r="F18" s="240"/>
      <c r="G18" s="291"/>
      <c r="H18" s="241"/>
      <c r="I18" s="241"/>
      <c r="J18" s="284" t="str">
        <f>IF(OR(G18=0,H18=0,I18=0),"",+CONCATENATE(G18," ","por"," ",H18," ","a causa de"," ",I18,"."))</f>
        <v/>
      </c>
      <c r="K18" s="240"/>
      <c r="L18" s="240"/>
      <c r="M18" s="242"/>
      <c r="N18" s="282" t="str">
        <f>IFERROR(VLOOKUP(M18,Probabilidad!$C$4:$D$8,2,0),"")</f>
        <v/>
      </c>
      <c r="O18" s="242"/>
      <c r="P18" s="282" t="str">
        <f>IFERROR(VLOOKUP(O18,Hoja2!$B$3:$E$8,3,FALSE),"")</f>
        <v/>
      </c>
      <c r="Q18" s="282" t="str">
        <f>IFERROR(VLOOKUP(O18,Hoja2!$B$3:$E$8,4,FALSE),"")</f>
        <v/>
      </c>
      <c r="R18" s="244"/>
      <c r="S18" s="282" t="str">
        <f>IFERROR(VLOOKUP(R18,Hoja2!$C$3:$E$8,2,FALSE),"")</f>
        <v/>
      </c>
      <c r="T18" s="282" t="str">
        <f>IFERROR(VLOOKUP(R18,Hoja2!$C$3:$E$8,3,FALSE),"")</f>
        <v/>
      </c>
      <c r="U18" s="283" t="str">
        <f t="shared" si="1"/>
        <v/>
      </c>
      <c r="V18" s="282" t="str">
        <f t="shared" si="2"/>
        <v/>
      </c>
      <c r="W18" s="282" t="str">
        <f>IFERROR(VLOOKUP('Identificación de Riesgos'!N18:N18,Probabilidad!$A$4:$B$8,2,0),"")</f>
        <v/>
      </c>
      <c r="X18" s="282" t="str">
        <f>IFERROR(VLOOKUP(V18,'Impacto Procesos'!$C$5:$F$9,4,0),"")</f>
        <v/>
      </c>
      <c r="Y18" s="282" t="str">
        <f>IFERROR(VLOOKUP(W18,Hoja2!$S$4:$X$8,MATCH(X18,Hoja2!$S$3:$X$3,0),0),"")</f>
        <v/>
      </c>
      <c r="Z18" s="166"/>
    </row>
    <row r="19" spans="1:26" s="90" customFormat="1" ht="18" customHeight="1" x14ac:dyDescent="0.3">
      <c r="A19" s="238"/>
      <c r="B19" s="266"/>
      <c r="C19" s="291"/>
      <c r="D19" s="247"/>
      <c r="E19" s="294"/>
      <c r="F19" s="240"/>
      <c r="G19" s="291"/>
      <c r="H19" s="241"/>
      <c r="I19" s="241"/>
      <c r="J19" s="284" t="str">
        <f>IF(OR(G19=0,H19=0,I19=0),"",+CONCATENATE(G19," ","por"," ",H19," ","a causa de"," ",I19,"."))</f>
        <v/>
      </c>
      <c r="K19" s="240"/>
      <c r="L19" s="240"/>
      <c r="M19" s="242"/>
      <c r="N19" s="282" t="str">
        <f>IFERROR(VLOOKUP(M19,Probabilidad!$C$4:$D$8,2,0),"")</f>
        <v/>
      </c>
      <c r="O19" s="242"/>
      <c r="P19" s="282" t="str">
        <f>IFERROR(VLOOKUP(O19,Hoja2!$B$3:$E$8,3,FALSE),"")</f>
        <v/>
      </c>
      <c r="Q19" s="282" t="str">
        <f>IFERROR(VLOOKUP(O19,Hoja2!$B$3:$E$8,4,FALSE),"")</f>
        <v/>
      </c>
      <c r="R19" s="244"/>
      <c r="S19" s="282" t="str">
        <f>IFERROR(VLOOKUP(R19,Hoja2!$C$3:$E$8,2,FALSE),"")</f>
        <v/>
      </c>
      <c r="T19" s="282" t="str">
        <f>IFERROR(VLOOKUP(R19,Hoja2!$C$3:$E$8,3,FALSE),"")</f>
        <v/>
      </c>
      <c r="U19" s="283" t="str">
        <f t="shared" si="1"/>
        <v/>
      </c>
      <c r="V19" s="282" t="str">
        <f t="shared" si="2"/>
        <v/>
      </c>
      <c r="W19" s="282" t="str">
        <f>IFERROR(VLOOKUP('Identificación de Riesgos'!N19:N19,Probabilidad!$A$4:$B$8,2,0),"")</f>
        <v/>
      </c>
      <c r="X19" s="282" t="str">
        <f>IFERROR(VLOOKUP(V19,'Impacto Procesos'!$C$5:$F$9,4,0),"")</f>
        <v/>
      </c>
      <c r="Y19" s="282" t="str">
        <f>IFERROR(VLOOKUP(W19,Hoja2!$S$4:$X$8,MATCH(X19,Hoja2!$S$3:$X$3,0),0),"")</f>
        <v/>
      </c>
    </row>
    <row r="20" spans="1:26" hidden="1" x14ac:dyDescent="0.3">
      <c r="U20" s="228"/>
    </row>
  </sheetData>
  <sheetProtection formatCells="0" formatColumns="0" formatRows="0"/>
  <mergeCells count="10">
    <mergeCell ref="A1:Y4"/>
    <mergeCell ref="Y6:Y7"/>
    <mergeCell ref="O7:V7"/>
    <mergeCell ref="A6:C6"/>
    <mergeCell ref="W6:W7"/>
    <mergeCell ref="X6:X7"/>
    <mergeCell ref="K7:N7"/>
    <mergeCell ref="K6:V6"/>
    <mergeCell ref="D6:E6"/>
    <mergeCell ref="F6:J6"/>
  </mergeCells>
  <phoneticPr fontId="66" type="noConversion"/>
  <conditionalFormatting sqref="N8:N19">
    <cfRule type="cellIs" dxfId="148" priority="1" operator="equal">
      <formula>0.2</formula>
    </cfRule>
    <cfRule type="cellIs" dxfId="147" priority="2" operator="equal">
      <formula>0.4</formula>
    </cfRule>
    <cfRule type="cellIs" dxfId="146" priority="3" operator="equal">
      <formula>0.6</formula>
    </cfRule>
    <cfRule type="cellIs" dxfId="145" priority="4" operator="equal">
      <formula>0.8</formula>
    </cfRule>
    <cfRule type="cellIs" dxfId="144" priority="5" operator="equal">
      <formula>1</formula>
    </cfRule>
  </conditionalFormatting>
  <conditionalFormatting sqref="P8:P19">
    <cfRule type="cellIs" dxfId="143" priority="21" operator="equal">
      <formula>"Leve"</formula>
    </cfRule>
    <cfRule type="cellIs" dxfId="142" priority="22" operator="equal">
      <formula>"Menor"</formula>
    </cfRule>
    <cfRule type="cellIs" dxfId="141" priority="25" operator="equal">
      <formula>"Catastrófico"</formula>
    </cfRule>
    <cfRule type="cellIs" dxfId="140" priority="24" operator="equal">
      <formula>"Mayor"</formula>
    </cfRule>
    <cfRule type="cellIs" dxfId="139" priority="23" operator="equal">
      <formula>"Moderado"</formula>
    </cfRule>
  </conditionalFormatting>
  <conditionalFormatting sqref="Q8:Q19">
    <cfRule type="cellIs" dxfId="138" priority="6" operator="equal">
      <formula>0.2</formula>
    </cfRule>
    <cfRule type="cellIs" dxfId="137" priority="7" operator="equal">
      <formula>0.4</formula>
    </cfRule>
    <cfRule type="cellIs" dxfId="136" priority="8" operator="equal">
      <formula>0.6</formula>
    </cfRule>
    <cfRule type="cellIs" dxfId="135" priority="9" operator="equal">
      <formula>0.8</formula>
    </cfRule>
    <cfRule type="cellIs" dxfId="134" priority="10" operator="equal">
      <formula>1</formula>
    </cfRule>
  </conditionalFormatting>
  <conditionalFormatting sqref="S8:S19">
    <cfRule type="cellIs" dxfId="133" priority="20" operator="equal">
      <formula>"Catastrófico"</formula>
    </cfRule>
    <cfRule type="cellIs" dxfId="132" priority="17" operator="equal">
      <formula>"Menor"</formula>
    </cfRule>
    <cfRule type="cellIs" dxfId="131" priority="16" operator="equal">
      <formula>"Leve"</formula>
    </cfRule>
    <cfRule type="cellIs" dxfId="130" priority="18" operator="equal">
      <formula>"Moderado"</formula>
    </cfRule>
    <cfRule type="cellIs" dxfId="129" priority="19" operator="equal">
      <formula>"Mayor"</formula>
    </cfRule>
  </conditionalFormatting>
  <conditionalFormatting sqref="T8:T19">
    <cfRule type="cellIs" dxfId="128" priority="11" operator="equal">
      <formula>0.2</formula>
    </cfRule>
    <cfRule type="cellIs" dxfId="127" priority="12" operator="equal">
      <formula>0.4</formula>
    </cfRule>
    <cfRule type="cellIs" dxfId="126" priority="15" operator="equal">
      <formula>1</formula>
    </cfRule>
    <cfRule type="cellIs" dxfId="125" priority="14" operator="equal">
      <formula>0.8</formula>
    </cfRule>
    <cfRule type="cellIs" dxfId="124" priority="13" operator="equal">
      <formula>0.6</formula>
    </cfRule>
  </conditionalFormatting>
  <conditionalFormatting sqref="V8:V19">
    <cfRule type="cellIs" dxfId="123" priority="36" operator="equal">
      <formula>0.2</formula>
    </cfRule>
    <cfRule type="cellIs" dxfId="122" priority="37" operator="equal">
      <formula>0.4</formula>
    </cfRule>
    <cfRule type="cellIs" dxfId="121" priority="38" operator="equal">
      <formula>0.6</formula>
    </cfRule>
    <cfRule type="cellIs" dxfId="120" priority="39" operator="equal">
      <formula>0.8</formula>
    </cfRule>
    <cfRule type="cellIs" dxfId="119" priority="40" operator="equal">
      <formula>1</formula>
    </cfRule>
  </conditionalFormatting>
  <conditionalFormatting sqref="W8:W19">
    <cfRule type="cellIs" dxfId="118" priority="114" operator="equal">
      <formula>"Muy Alta"</formula>
    </cfRule>
    <cfRule type="cellIs" dxfId="117" priority="110" operator="equal">
      <formula>"Muy Baja"</formula>
    </cfRule>
    <cfRule type="cellIs" dxfId="116" priority="111" operator="equal">
      <formula>"Baja"</formula>
    </cfRule>
    <cfRule type="cellIs" dxfId="115" priority="112" operator="equal">
      <formula>"Media"</formula>
    </cfRule>
    <cfRule type="cellIs" dxfId="114" priority="113" operator="equal">
      <formula>"Alta"</formula>
    </cfRule>
  </conditionalFormatting>
  <conditionalFormatting sqref="X8:X19">
    <cfRule type="cellIs" dxfId="113" priority="26" operator="equal">
      <formula>"Leve"</formula>
    </cfRule>
    <cfRule type="cellIs" dxfId="112" priority="27" operator="equal">
      <formula>"Menor"</formula>
    </cfRule>
    <cfRule type="cellIs" dxfId="111" priority="29" operator="equal">
      <formula>"Mayor"</formula>
    </cfRule>
    <cfRule type="cellIs" dxfId="110" priority="30" operator="equal">
      <formula>"Catastrófico"</formula>
    </cfRule>
  </conditionalFormatting>
  <conditionalFormatting sqref="X8:Y19">
    <cfRule type="cellIs" dxfId="109" priority="28" operator="equal">
      <formula>"Moderado"</formula>
    </cfRule>
  </conditionalFormatting>
  <conditionalFormatting sqref="Y8:Y19">
    <cfRule type="cellIs" dxfId="108" priority="101" operator="equal">
      <formula>"Bajo"</formula>
    </cfRule>
    <cfRule type="cellIs" dxfId="107" priority="103" operator="equal">
      <formula>"Alto"</formula>
    </cfRule>
    <cfRule type="cellIs" dxfId="106" priority="104" operator="equal">
      <formula>"Extremo"</formula>
    </cfRule>
  </conditionalFormatting>
  <dataValidations xWindow="903" yWindow="592" count="17">
    <dataValidation allowBlank="1" showErrorMessage="1" sqref="L8:L19 J8:J19" xr:uid="{2302B92E-855E-4DBE-B66B-5B244E2BF332}"/>
    <dataValidation allowBlank="1" showErrorMessage="1" promptTitle="EFECTOS" prompt="Consecuencias de la ocurrencia del riesgo sobre el objetivo del proceso o subprocesos asociados. Enumere y coloque seguidamente cada uno de los efectos. (Ejem: 1 Efecto)" sqref="S8:T19 N8:N19 P8:Q19" xr:uid="{C051619A-A3A3-43BC-8DF7-4CA877F87D81}"/>
    <dataValidation allowBlank="1" showInputMessage="1" showErrorMessage="1" promptTitle="PUNTO CRÍTICO DE CONTROL" prompt="Es la actividad fundamental dentro del proceso, en la que debe ejercerse un control para prevenir la materialización de un riesgo. Enumere y coloque seguidamente cada uno de los puntos críticos de control. (Ejem: 1 PCC)" sqref="UYP8:UYP18 VIL8:VIL18 VSH8:VSH18 WCD8:WCD18 WLZ8:WLZ18 WVV8:WVV18 JJ8:JJ18 TF8:TF18 ADB8:ADB18 AMX8:AMX18 AWT8:AWT18 BGP8:BGP18 BQL8:BQL18 CAH8:CAH18 CKD8:CKD18 CTZ8:CTZ18 DDV8:DDV18 DNR8:DNR18 DXN8:DXN18 EHJ8:EHJ18 ERF8:ERF18 FBB8:FBB18 FKX8:FKX18 FUT8:FUT18 GEP8:GEP18 GOL8:GOL18 GYH8:GYH18 HID8:HID18 HRZ8:HRZ18 IBV8:IBV18 ILR8:ILR18 IVN8:IVN18 JFJ8:JFJ18 JPF8:JPF18 JZB8:JZB18 KIX8:KIX18 KST8:KST18 LCP8:LCP18 LML8:LML18 LWH8:LWH18 MGD8:MGD18 MPZ8:MPZ18 MZV8:MZV18 NJR8:NJR18 NTN8:NTN18 ODJ8:ODJ18 ONF8:ONF18 OXB8:OXB18 PGX8:PGX18 PQT8:PQT18 QAP8:QAP18 QKL8:QKL18 QUH8:QUH18 RED8:RED18 RNZ8:RNZ18 RXV8:RXV18 SHR8:SHR18 SRN8:SRN18 TBJ8:TBJ18 TLF8:TLF18 TVB8:TVB18 UEX8:UEX18 UOT8:UOT18" xr:uid="{940629A0-546C-44B3-85E1-C48BBDCA152E}"/>
    <dataValidation type="date" allowBlank="1" showInputMessage="1" showErrorMessage="1" promptTitle="FECHA DE ELABORACIÓN" prompt="Digite la fecha de elaboración del mapa de riesgos." sqref="JQ1:JQ4 TM1:TM4 ADI1:ADI4 ANE1:ANE4 AXA1:AXA4 BGW1:BGW4 BQS1:BQS4 CAO1:CAO4 CKK1:CKK4 CUG1:CUG4 DEC1:DEC4 DNY1:DNY4 DXU1:DXU4 EHQ1:EHQ4 ERM1:ERM4 FBI1:FBI4 FLE1:FLE4 FVA1:FVA4 GEW1:GEW4 GOS1:GOS4 GYO1:GYO4 HIK1:HIK4 HSG1:HSG4 ICC1:ICC4 ILY1:ILY4 IVU1:IVU4 JFQ1:JFQ4 JPM1:JPM4 JZI1:JZI4 KJE1:KJE4 KTA1:KTA4 LCW1:LCW4 LMS1:LMS4 LWO1:LWO4 MGK1:MGK4 MQG1:MQG4 NAC1:NAC4 NJY1:NJY4 NTU1:NTU4 ODQ1:ODQ4 ONM1:ONM4 OXI1:OXI4 PHE1:PHE4 PRA1:PRA4 QAW1:QAW4 QKS1:QKS4 QUO1:QUO4 REK1:REK4 ROG1:ROG4 RYC1:RYC4 SHY1:SHY4 SRU1:SRU4 TBQ1:TBQ4 TLM1:TLM4 TVI1:TVI4 UFE1:UFE4 UPA1:UPA4 UYW1:UYW4 VIS1:VIS4 VSO1:VSO4 WCK1:WCK4 WMG1:WMG4 WWC1:WWC4" xr:uid="{3328A7AA-A532-40A8-A027-2BF8EEBA277C}">
      <formula1>39448</formula1>
      <formula2>40543</formula2>
    </dataValidation>
    <dataValidation type="list" allowBlank="1" showInputMessage="1" showErrorMessage="1" sqref="F8:F19" xr:uid="{8C39EA2F-DA44-4215-A452-B3129C95443F}">
      <formula1>"Gestión,Fiscal,Seguridad_Información,Integridad_Pública_Corrupción,Integridad_Pública_LAFT"</formula1>
    </dataValidation>
    <dataValidation allowBlank="1" showErrorMessage="1" promptTitle="VALORACIÓN PURA" prompt="Grado de exposición del riesgo en un escenario sin controles." sqref="Y8:Y19" xr:uid="{35062ACD-EEF4-457C-8A61-721E33C3E5AA}"/>
    <dataValidation type="list" allowBlank="1" showInputMessage="1" showErrorMessage="1" promptTitle="CATEGORÍA" prompt="Cada uno de los grupos básicos en que puede incluirse o calificarse un riesgo. Seleccione la categoría a que pertence el riesgo. " sqref="WCE8:WCE18 VSI8:VSI18 VIM8:VIM18 UYQ8:UYQ18 UOU8:UOU18 UEY8:UEY18 TVC8:TVC18 TLG8:TLG18 TBK8:TBK18 SRO8:SRO18 SHS8:SHS18 RXW8:RXW18 ROA8:ROA18 REE8:REE18 QUI8:QUI18 QKM8:QKM18 QAQ8:QAQ18 PQU8:PQU18 PGY8:PGY18 OXC8:OXC18 ONG8:ONG18 ODK8:ODK18 NTO8:NTO18 NJS8:NJS18 MZW8:MZW18 MQA8:MQA18 MGE8:MGE18 LWI8:LWI18 LMM8:LMM18 LCQ8:LCQ18 KSU8:KSU18 KIY8:KIY18 JZC8:JZC18 JPG8:JPG18 JFK8:JFK18 IVO8:IVO18 ILS8:ILS18 IBW8:IBW18 HSA8:HSA18 HIE8:HIE18 GYI8:GYI18 GOM8:GOM18 GEQ8:GEQ18 FUU8:FUU18 FKY8:FKY18 FBC8:FBC18 ERG8:ERG18 EHK8:EHK18 DXO8:DXO18 DNS8:DNS18 DDW8:DDW18 CUA8:CUA18 CKE8:CKE18 CAI8:CAI18 BQM8:BQM18 BGQ8:BGQ18 AWU8:AWU18 AMY8:AMY18 ADC8:ADC18 TG8:TG18 JK8:JK18 WVW8:WVW18 WMA8:WMA18" xr:uid="{E1F88AFB-781B-417C-B5C3-A1EB93CC8965}">
      <formula1>#REF!</formula1>
    </dataValidation>
    <dataValidation allowBlank="1" showInputMessage="1" showErrorMessage="1" promptTitle="EVENTO" prompt="Hecho que una vez materializado genera desviaciones en el punto crítico de control. Digite el evento teniendo en cuenta el punto crítico de control y la categoría a que pertenece." sqref="JL8:JL18 TH8:TH18 ADD8:ADD18 AMZ8:AMZ18 AWV8:AWV18 BGR8:BGR18 BQN8:BQN18 CAJ8:CAJ18 CKF8:CKF18 CUB8:CUB18 DDX8:DDX18 DNT8:DNT18 DXP8:DXP18 EHL8:EHL18 ERH8:ERH18 FBD8:FBD18 FKZ8:FKZ18 FUV8:FUV18 GER8:GER18 GON8:GON18 GYJ8:GYJ18 HIF8:HIF18 HSB8:HSB18 IBX8:IBX18 ILT8:ILT18 IVP8:IVP18 JFL8:JFL18 JPH8:JPH18 JZD8:JZD18 KIZ8:KIZ18 KSV8:KSV18 LCR8:LCR18 LMN8:LMN18 LWJ8:LWJ18 MGF8:MGF18 MQB8:MQB18 MZX8:MZX18 NJT8:NJT18 NTP8:NTP18 ODL8:ODL18 ONH8:ONH18 OXD8:OXD18 PGZ8:PGZ18 PQV8:PQV18 QAR8:QAR18 QKN8:QKN18 QUJ8:QUJ18 REF8:REF18 ROB8:ROB18 RXX8:RXX18 SHT8:SHT18 SRP8:SRP18 TBL8:TBL18 TLH8:TLH18 TVD8:TVD18 UEZ8:UEZ18 UOV8:UOV18 UYR8:UYR18 VIN8:VIN18 VSJ8:VSJ18 WCF8:WCF18 WMB8:WMB18 WVX8:WVX18" xr:uid="{D2DCB1AA-B992-4FF4-822E-2B0DE646BF04}"/>
    <dataValidation allowBlank="1" showInputMessage="1" showErrorMessage="1" promptTitle="VALORACIÓN PURA" prompt="Grado de exposición del riesgo en un escenario sin controles." sqref="VSO8:VSO18 WCK8:WCK18 WMG8:WMG18 WWC8:WWC18 JQ8:JQ18 TM8:TM18 ADI8:ADI18 ANE8:ANE18 AXA8:AXA18 BGW8:BGW18 BQS8:BQS18 CAO8:CAO18 CKK8:CKK18 CUG8:CUG18 DEC8:DEC18 DNY8:DNY18 DXU8:DXU18 EHQ8:EHQ18 ERM8:ERM18 FBI8:FBI18 FLE8:FLE18 FVA8:FVA18 GEW8:GEW18 GOS8:GOS18 GYO8:GYO18 HIK8:HIK18 HSG8:HSG18 ICC8:ICC18 ILY8:ILY18 IVU8:IVU18 JFQ8:JFQ18 JPM8:JPM18 JZI8:JZI18 KJE8:KJE18 KTA8:KTA18 LCW8:LCW18 LMS8:LMS18 LWO8:LWO18 MGK8:MGK18 MQG8:MQG18 NAC8:NAC18 NJY8:NJY18 NTU8:NTU18 ODQ8:ODQ18 ONM8:ONM18 OXI8:OXI18 PHE8:PHE18 PRA8:PRA18 QAW8:QAW18 QKS8:QKS18 QUO8:QUO18 REK8:REK18 ROG8:ROG18 RYC8:RYC18 SHY8:SHY18 SRU8:SRU18 TBQ8:TBQ18 TLM8:TLM18 TVI8:TVI18 UFE8:UFE18 UPA8:UPA18 UYW8:UYW18 VIS8:VIS18" xr:uid="{2DF5CE1E-0905-4082-A748-5297DDF618C6}"/>
    <dataValidation allowBlank="1" showInputMessage="1" showErrorMessage="1" promptTitle="EFECTOS" prompt="Consecuencias de la ocurrencia del riesgo sobre el objetivo del proceso o subprocesos asociados. Enumere y coloque seguidamente cada uno de los efectos. (Ejem: 1 Efecto)" sqref="UYT8:UYT18 VIP8:VIP18 VSL8:VSL18 WMD8:WMD18 WCH8:WCH18 WVZ8:WVZ18 JN8:JN18 TJ8:TJ18 ADF8:ADF18 ANB8:ANB18 AWX8:AWX18 BGT8:BGT18 BQP8:BQP18 CAL8:CAL18 CKH8:CKH18 CUD8:CUD18 DDZ8:DDZ18 DNV8:DNV18 DXR8:DXR18 EHN8:EHN18 ERJ8:ERJ18 FBF8:FBF18 FLB8:FLB18 FUX8:FUX18 GET8:GET18 GOP8:GOP18 GYL8:GYL18 HIH8:HIH18 HSD8:HSD18 IBZ8:IBZ18 ILV8:ILV18 IVR8:IVR18 JFN8:JFN18 JPJ8:JPJ18 JZF8:JZF18 KJB8:KJB18 KSX8:KSX18 LCT8:LCT18 LMP8:LMP18 LWL8:LWL18 MGH8:MGH18 MQD8:MQD18 MZZ8:MZZ18 NJV8:NJV18 NTR8:NTR18 ODN8:ODN18 ONJ8:ONJ18 OXF8:OXF18 PHB8:PHB18 PQX8:PQX18 QAT8:QAT18 QKP8:QKP18 QUL8:QUL18 REH8:REH18 ROD8:ROD18 RXZ8:RXZ18 SHV8:SHV18 SRR8:SRR18 TBN8:TBN18 TLJ8:TLJ18 TVF8:TVF18 UFB8:UFB18 UOX8:UOX18" xr:uid="{D826B1BB-9763-472B-BBC7-3BB004F0EE92}"/>
    <dataValidation allowBlank="1" showInputMessage="1" showErrorMessage="1" promptTitle="CAUSAS" prompt="Medios, circunstancias y agentes generadores del riesgo. Enumere y coloque seguidamente cada una de las causas. (Ejem: 1 Causa)" sqref="WMC8:WMC18 WVY8:WVY18 JM8:JM18 TI8:TI18 ADE8:ADE18 ANA8:ANA18 AWW8:AWW18 BGS8:BGS18 BQO8:BQO18 CAK8:CAK18 CKG8:CKG18 CUC8:CUC18 DDY8:DDY18 DNU8:DNU18 DXQ8:DXQ18 EHM8:EHM18 ERI8:ERI18 FBE8:FBE18 FLA8:FLA18 FUW8:FUW18 GES8:GES18 GOO8:GOO18 GYK8:GYK18 HIG8:HIG18 HSC8:HSC18 IBY8:IBY18 ILU8:ILU18 IVQ8:IVQ18 JFM8:JFM18 JPI8:JPI18 JZE8:JZE18 KJA8:KJA18 KSW8:KSW18 LCS8:LCS18 LMO8:LMO18 LWK8:LWK18 MGG8:MGG18 MQC8:MQC18 MZY8:MZY18 NJU8:NJU18 NTQ8:NTQ18 ODM8:ODM18 ONI8:ONI18 OXE8:OXE18 PHA8:PHA18 PQW8:PQW18 QAS8:QAS18 QKO8:QKO18 QUK8:QUK18 REG8:REG18 ROC8:ROC18 RXY8:RXY18 SHU8:SHU18 SRQ8:SRQ18 TBM8:TBM18 TLI8:TLI18 TVE8:TVE18 UFA8:UFA18 UOW8:UOW18 UYS8:UYS18 VIO8:VIO18 VSK8:VSK18 WCG8:WCG18" xr:uid="{E2D96F4C-B9C9-41E5-B761-A77F58552AE9}"/>
    <dataValidation type="list" allowBlank="1" showInputMessage="1" showErrorMessage="1" sqref="D8:D19" xr:uid="{D5D1ED09-3635-48BA-BBC5-67D66A385802}">
      <formula1>"Ejecución_Administración_Procesos,Talento_Humano,Tecnología,Infraestructura,Transacción_Operación_Aplica_LAFT,Evento_Externo"</formula1>
    </dataValidation>
    <dataValidation type="list" allowBlank="1" showInputMessage="1" showErrorMessage="1" promptTitle="IMPACTO" prompt="Magnitud de los efectos ocasionados con la materialización del riesgo sin controles. Seleccione el impacto." sqref="WWB8:WWB18 WMF8:WMF18 WCJ8:WCJ18 VSN8:VSN18 VIR8:VIR18 UYV8:UYV18 UOZ8:UOZ18 UFD8:UFD18 TVH8:TVH18 TLL8:TLL18 TBP8:TBP18 SRT8:SRT18 SHX8:SHX18 RYB8:RYB18 ROF8:ROF18 REJ8:REJ18 QUN8:QUN18 QKR8:QKR18 QAV8:QAV18 PQZ8:PQZ18 PHD8:PHD18 OXH8:OXH18 ONL8:ONL18 ODP8:ODP18 NTT8:NTT18 NJX8:NJX18 NAB8:NAB18 MQF8:MQF18 MGJ8:MGJ18 LWN8:LWN18 LMR8:LMR18 LCV8:LCV18 KSZ8:KSZ18 KJD8:KJD18 JZH8:JZH18 JPL8:JPL18 JFP8:JFP18 IVT8:IVT18 ILX8:ILX18 ICB8:ICB18 HSF8:HSF18 HIJ8:HIJ18 GYN8:GYN18 GOR8:GOR18 GEV8:GEV18 FUZ8:FUZ18 FLD8:FLD18 FBH8:FBH18 ERL8:ERL18 EHP8:EHP18 DXT8:DXT18 DNX8:DNX18 DEB8:DEB18 CUF8:CUF18 CKJ8:CKJ18 CAN8:CAN18 BQR8:BQR18 BGV8:BGV18 AWZ8:AWZ18 AND8:AND18 ADH8:ADH18 TL8:TL18 JP8:JP18" xr:uid="{0F16C4EB-7B14-4643-AB51-EEBF39F56F72}">
      <formula1>#REF!</formula1>
    </dataValidation>
    <dataValidation type="list" allowBlank="1" showInputMessage="1" showErrorMessage="1" promptTitle="PROBABILIDAD" prompt="Frecuencia con que se ha presentado o puede presentarse el riesgo sin controles. Seleccione la probabilidad." sqref="WME8:WME18 WWA8:WWA18 JO8:JO18 TK8:TK18 ADG8:ADG18 ANC8:ANC18 AWY8:AWY18 BGU8:BGU18 BQQ8:BQQ18 CAM8:CAM18 CKI8:CKI18 CUE8:CUE18 DEA8:DEA18 DNW8:DNW18 DXS8:DXS18 EHO8:EHO18 ERK8:ERK18 FBG8:FBG18 FLC8:FLC18 FUY8:FUY18 GEU8:GEU18 GOQ8:GOQ18 GYM8:GYM18 HII8:HII18 HSE8:HSE18 ICA8:ICA18 ILW8:ILW18 IVS8:IVS18 JFO8:JFO18 JPK8:JPK18 JZG8:JZG18 KJC8:KJC18 KSY8:KSY18 LCU8:LCU18 LMQ8:LMQ18 LWM8:LWM18 MGI8:MGI18 MQE8:MQE18 NAA8:NAA18 NJW8:NJW18 NTS8:NTS18 ODO8:ODO18 ONK8:ONK18 OXG8:OXG18 PHC8:PHC18 PQY8:PQY18 QAU8:QAU18 QKQ8:QKQ18 QUM8:QUM18 REI8:REI18 ROE8:ROE18 RYA8:RYA18 SHW8:SHW18 SRS8:SRS18 TBO8:TBO18 TLK8:TLK18 TVG8:TVG18 UFC8:UFC18 UOY8:UOY18 UYU8:UYU18 VIQ8:VIQ18 VSM8:VSM18 WCI8:WCI18" xr:uid="{4E123414-AA7D-4DFF-891A-694632246F36}">
      <formula1>#REF!</formula1>
    </dataValidation>
    <dataValidation type="list" allowBlank="1" showInputMessage="1" showErrorMessage="1" sqref="G8:G19" xr:uid="{F14D607A-7BC2-4BAA-A743-25D66A83875E}">
      <formula1>INDIRECT(F8)</formula1>
    </dataValidation>
    <dataValidation type="list" allowBlank="1" showErrorMessage="1" sqref="E8:E9 E12:E19" xr:uid="{CDFACBDB-9E8B-4286-B20F-57A2A5299069}">
      <formula1>INDIRECT(D8)</formula1>
    </dataValidation>
    <dataValidation type="list" allowBlank="1" showErrorMessage="1" sqref="E10" xr:uid="{423F507F-7B0D-426D-8948-47529A24250A}">
      <formula1>INDIRECT(D11)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903" yWindow="592" count="5">
        <x14:dataValidation type="list" allowBlank="1" showInputMessage="1" showErrorMessage="1" xr:uid="{C524CBC7-4D77-4555-9374-056F8823DA19}">
          <x14:formula1>
            <xm:f>Hoja2!$J$3:$J$7</xm:f>
          </x14:formula1>
          <xm:sqref>M8:M19</xm:sqref>
        </x14:dataValidation>
        <x14:dataValidation type="list" allowBlank="1" showErrorMessage="1" promptTitle="EFECTOS" prompt="Consecuencias de la ocurrencia del riesgo sobre el objetivo del proceso o subprocesos asociados. Enumere y coloque seguidamente cada uno de los efectos. (Ejem: 1 Efecto)" xr:uid="{70DBC3A3-C49A-4855-80E7-93ACCCB6DA20}">
          <x14:formula1>
            <xm:f>Hoja2!$C$3:$C$8</xm:f>
          </x14:formula1>
          <xm:sqref>R8:R19</xm:sqref>
        </x14:dataValidation>
        <x14:dataValidation type="list" allowBlank="1" showInputMessage="1" showErrorMessage="1" xr:uid="{F891A89B-16FD-4944-9EA6-7A51FEF71D19}">
          <x14:formula1>
            <xm:f>Hoja2!$B$3:$B$8</xm:f>
          </x14:formula1>
          <xm:sqref>O8:O19</xm:sqref>
        </x14:dataValidation>
        <x14:dataValidation type="list" allowBlank="1" showInputMessage="1" showErrorMessage="1" xr:uid="{CBB98DE5-8BCC-4EEF-BA43-2EADA102B1B5}">
          <x14:formula1>
            <xm:f>'Tablas de validación'!$B$12:$B$15</xm:f>
          </x14:formula1>
          <xm:sqref>B8:B19</xm:sqref>
        </x14:dataValidation>
        <x14:dataValidation type="list" allowBlank="1" showInputMessage="1" showErrorMessage="1" xr:uid="{7B30E232-C85B-4BDB-8D00-231969E8757E}">
          <x14:formula1>
            <xm:f>'Tablas de validación'!$C$12:$C$26</xm:f>
          </x14:formula1>
          <xm:sqref>C12:E19 C11:D11 C8:E10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37D0-7710-42BA-B623-AAC4B48F475E}">
  <dimension ref="A1:BR37"/>
  <sheetViews>
    <sheetView showGridLines="0" topLeftCell="A2" zoomScale="55" zoomScaleNormal="55" workbookViewId="0">
      <selection activeCell="J18" sqref="J18"/>
    </sheetView>
  </sheetViews>
  <sheetFormatPr baseColWidth="10" defaultColWidth="0" defaultRowHeight="14.4" x14ac:dyDescent="0.3"/>
  <cols>
    <col min="1" max="1" width="26.33203125" customWidth="1"/>
    <col min="2" max="2" width="26.33203125" hidden="1" customWidth="1"/>
    <col min="3" max="3" width="79.33203125" bestFit="1" customWidth="1"/>
    <col min="4" max="4" width="14.44140625" customWidth="1"/>
    <col min="5" max="5" width="38.88671875" customWidth="1"/>
    <col min="6" max="6" width="40.33203125" customWidth="1"/>
    <col min="7" max="7" width="41.33203125" customWidth="1"/>
    <col min="8" max="8" width="66.88671875" customWidth="1"/>
    <col min="9" max="9" width="32.5546875" customWidth="1"/>
    <col min="10" max="10" width="30.88671875" customWidth="1"/>
    <col min="11" max="11" width="26.88671875" customWidth="1"/>
    <col min="12" max="12" width="33.44140625" bestFit="1" customWidth="1"/>
    <col min="13" max="14" width="22.109375" customWidth="1"/>
    <col min="15" max="15" width="11.44140625" customWidth="1"/>
    <col min="16" max="70" width="0" hidden="1" customWidth="1"/>
    <col min="71" max="16384" width="11.44140625" hidden="1"/>
  </cols>
  <sheetData>
    <row r="1" spans="1:64" s="90" customFormat="1" ht="46.5" customHeight="1" x14ac:dyDescent="0.3">
      <c r="A1" s="341" t="s">
        <v>260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64" s="90" customFormat="1" ht="23.25" customHeight="1" x14ac:dyDescent="0.3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s="90" customFormat="1" ht="30.75" customHeight="1" x14ac:dyDescent="0.3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D3" s="94"/>
      <c r="BE3" s="94"/>
      <c r="BF3" s="94"/>
      <c r="BG3" s="94"/>
      <c r="BH3" s="94"/>
      <c r="BI3" s="94"/>
      <c r="BJ3" s="95"/>
      <c r="BK3" s="95"/>
      <c r="BL3" s="95"/>
    </row>
    <row r="4" spans="1:64" s="90" customFormat="1" ht="21.9" customHeight="1" x14ac:dyDescent="0.3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D4" s="94"/>
      <c r="BE4" s="94"/>
      <c r="BF4" s="94"/>
      <c r="BG4" s="94"/>
      <c r="BH4" s="94"/>
      <c r="BI4" s="94"/>
      <c r="BJ4" s="95"/>
      <c r="BK4" s="95"/>
      <c r="BL4" s="95"/>
    </row>
    <row r="6" spans="1:64" ht="37.5" customHeight="1" x14ac:dyDescent="0.3">
      <c r="A6" s="342" t="s">
        <v>261</v>
      </c>
      <c r="B6" s="342"/>
      <c r="C6" s="342"/>
      <c r="D6" s="343" t="s">
        <v>262</v>
      </c>
      <c r="E6" s="343"/>
      <c r="F6" s="343"/>
      <c r="G6" s="343"/>
      <c r="H6" s="343"/>
      <c r="I6" s="343" t="s">
        <v>263</v>
      </c>
      <c r="J6" s="343"/>
      <c r="K6" s="344" t="s">
        <v>264</v>
      </c>
      <c r="L6" s="345"/>
      <c r="M6" s="345"/>
      <c r="N6" s="346"/>
    </row>
    <row r="7" spans="1:64" ht="105" x14ac:dyDescent="0.3">
      <c r="A7" s="287" t="s">
        <v>265</v>
      </c>
      <c r="B7" s="287"/>
      <c r="C7" s="287" t="s">
        <v>266</v>
      </c>
      <c r="D7" s="287" t="s">
        <v>267</v>
      </c>
      <c r="E7" s="287" t="s">
        <v>268</v>
      </c>
      <c r="F7" s="287" t="s">
        <v>269</v>
      </c>
      <c r="G7" s="287" t="s">
        <v>270</v>
      </c>
      <c r="H7" s="287" t="s">
        <v>187</v>
      </c>
      <c r="I7" s="287" t="s">
        <v>271</v>
      </c>
      <c r="J7" s="287" t="s">
        <v>272</v>
      </c>
      <c r="K7" s="287" t="s">
        <v>160</v>
      </c>
      <c r="L7" s="287" t="s">
        <v>163</v>
      </c>
      <c r="M7" s="287" t="s">
        <v>162</v>
      </c>
      <c r="N7" s="287" t="s">
        <v>273</v>
      </c>
    </row>
    <row r="8" spans="1:64" x14ac:dyDescent="0.3">
      <c r="A8" s="239"/>
      <c r="B8" s="169" t="str">
        <f>_xlfn.CONCAT(A8,D8)</f>
        <v/>
      </c>
      <c r="C8" s="285" t="str">
        <f>IFERROR(VLOOKUP(A8,'Identificación de Riesgos'!$A$8:$Y$18,10,FALSE),"")</f>
        <v/>
      </c>
      <c r="D8" s="248"/>
      <c r="E8" s="249"/>
      <c r="F8" s="249"/>
      <c r="G8" s="249"/>
      <c r="H8" s="286" t="str">
        <f>CONCATENATE(E8," ",F8," ",G8)</f>
        <v xml:space="preserve">  </v>
      </c>
      <c r="I8" s="251"/>
      <c r="J8" s="252"/>
      <c r="K8" s="253"/>
      <c r="L8" s="254"/>
      <c r="M8" s="255"/>
      <c r="N8" s="255"/>
    </row>
    <row r="9" spans="1:64" x14ac:dyDescent="0.3">
      <c r="A9" s="239"/>
      <c r="B9" s="169" t="str">
        <f t="shared" ref="B9:B37" si="0">_xlfn.CONCAT(A9,D9)</f>
        <v/>
      </c>
      <c r="C9" s="285" t="str">
        <f>IFERROR(VLOOKUP(A9,'Identificación de Riesgos'!$A$8:$Y$18,10,FALSE),"")</f>
        <v/>
      </c>
      <c r="D9" s="248"/>
      <c r="E9" s="249"/>
      <c r="F9" s="249"/>
      <c r="G9" s="249"/>
      <c r="H9" s="286" t="str">
        <f>CONCATENATE(E9," ",F9," ",G9)</f>
        <v xml:space="preserve">  </v>
      </c>
      <c r="I9" s="251"/>
      <c r="J9" s="252"/>
      <c r="K9" s="253"/>
      <c r="L9" s="254"/>
      <c r="M9" s="255"/>
      <c r="N9" s="255"/>
    </row>
    <row r="10" spans="1:64" x14ac:dyDescent="0.3">
      <c r="A10" s="239"/>
      <c r="B10" s="169" t="str">
        <f t="shared" si="0"/>
        <v/>
      </c>
      <c r="C10" s="285" t="str">
        <f>IFERROR(VLOOKUP(A10,'Identificación de Riesgos'!$A$8:$Y$18,10,FALSE),"")</f>
        <v/>
      </c>
      <c r="D10" s="248"/>
      <c r="E10" s="250"/>
      <c r="F10" s="250"/>
      <c r="G10" s="250"/>
      <c r="H10" s="286" t="str">
        <f>CONCATENATE(E10," ",F10," ",G10)</f>
        <v xml:space="preserve">  </v>
      </c>
      <c r="I10" s="251"/>
      <c r="J10" s="252"/>
      <c r="K10" s="253"/>
      <c r="L10" s="254"/>
      <c r="M10" s="255"/>
      <c r="N10" s="255"/>
    </row>
    <row r="11" spans="1:64" x14ac:dyDescent="0.3">
      <c r="A11" s="239"/>
      <c r="B11" s="169" t="str">
        <f t="shared" si="0"/>
        <v/>
      </c>
      <c r="C11" s="285" t="str">
        <f>IFERROR(VLOOKUP(A11,'Identificación de Riesgos'!$A$8:$Y$18,10,FALSE),"")</f>
        <v/>
      </c>
      <c r="D11" s="248"/>
      <c r="E11" s="249"/>
      <c r="F11" s="249"/>
      <c r="G11" s="249"/>
      <c r="H11" s="286" t="str">
        <f t="shared" ref="H11:H37" si="1">CONCATENATE(E11," ",F11," ",G11)</f>
        <v xml:space="preserve">  </v>
      </c>
      <c r="I11" s="251"/>
      <c r="J11" s="252"/>
      <c r="K11" s="253"/>
      <c r="L11" s="254"/>
      <c r="M11" s="255"/>
      <c r="N11" s="255"/>
    </row>
    <row r="12" spans="1:64" x14ac:dyDescent="0.3">
      <c r="A12" s="239"/>
      <c r="B12" s="169" t="str">
        <f t="shared" si="0"/>
        <v/>
      </c>
      <c r="C12" s="285" t="str">
        <f>IFERROR(VLOOKUP(A12,'Identificación de Riesgos'!$A$8:$Y$18,10,FALSE),"")</f>
        <v/>
      </c>
      <c r="D12" s="248"/>
      <c r="E12" s="249"/>
      <c r="F12" s="249"/>
      <c r="G12" s="249"/>
      <c r="H12" s="286" t="str">
        <f t="shared" si="1"/>
        <v xml:space="preserve">  </v>
      </c>
      <c r="I12" s="251"/>
      <c r="J12" s="252"/>
      <c r="K12" s="253"/>
      <c r="L12" s="254"/>
      <c r="M12" s="255"/>
      <c r="N12" s="255"/>
    </row>
    <row r="13" spans="1:64" x14ac:dyDescent="0.3">
      <c r="A13" s="239"/>
      <c r="B13" s="169" t="str">
        <f t="shared" si="0"/>
        <v/>
      </c>
      <c r="C13" s="285" t="str">
        <f>IFERROR(VLOOKUP(A13,'Identificación de Riesgos'!$A$8:$Y$18,10,FALSE),"")</f>
        <v/>
      </c>
      <c r="D13" s="248"/>
      <c r="E13" s="249"/>
      <c r="F13" s="249"/>
      <c r="G13" s="249"/>
      <c r="H13" s="286" t="str">
        <f t="shared" si="1"/>
        <v xml:space="preserve">  </v>
      </c>
      <c r="I13" s="251"/>
      <c r="J13" s="252"/>
      <c r="K13" s="253"/>
      <c r="L13" s="254"/>
      <c r="M13" s="255"/>
      <c r="N13" s="255"/>
    </row>
    <row r="14" spans="1:64" x14ac:dyDescent="0.3">
      <c r="A14" s="239"/>
      <c r="B14" s="169" t="str">
        <f t="shared" si="0"/>
        <v/>
      </c>
      <c r="C14" s="285" t="str">
        <f>IFERROR(VLOOKUP(A14,'Identificación de Riesgos'!$A$8:$Y$18,10,FALSE),"")</f>
        <v/>
      </c>
      <c r="D14" s="248"/>
      <c r="E14" s="249"/>
      <c r="F14" s="249"/>
      <c r="G14" s="249"/>
      <c r="H14" s="286" t="str">
        <f t="shared" si="1"/>
        <v xml:space="preserve">  </v>
      </c>
      <c r="I14" s="256"/>
      <c r="J14" s="252"/>
      <c r="K14" s="253"/>
      <c r="L14" s="254"/>
      <c r="M14" s="255"/>
      <c r="N14" s="255"/>
    </row>
    <row r="15" spans="1:64" x14ac:dyDescent="0.3">
      <c r="A15" s="239"/>
      <c r="B15" s="169" t="str">
        <f t="shared" si="0"/>
        <v/>
      </c>
      <c r="C15" s="285" t="str">
        <f>IFERROR(VLOOKUP(A15,'Identificación de Riesgos'!$A$8:$Y$18,10,FALSE),"")</f>
        <v/>
      </c>
      <c r="D15" s="248"/>
      <c r="E15" s="249"/>
      <c r="F15" s="249"/>
      <c r="G15" s="249"/>
      <c r="H15" s="286" t="str">
        <f t="shared" si="1"/>
        <v xml:space="preserve">  </v>
      </c>
      <c r="I15" s="256"/>
      <c r="J15" s="252"/>
      <c r="K15" s="253"/>
      <c r="L15" s="254"/>
      <c r="M15" s="255"/>
      <c r="N15" s="255"/>
    </row>
    <row r="16" spans="1:64" x14ac:dyDescent="0.3">
      <c r="A16" s="239"/>
      <c r="B16" s="169" t="str">
        <f t="shared" si="0"/>
        <v/>
      </c>
      <c r="C16" s="285" t="str">
        <f>IFERROR(VLOOKUP(A16,'Identificación de Riesgos'!$A$8:$Y$18,10,FALSE),"")</f>
        <v/>
      </c>
      <c r="D16" s="248"/>
      <c r="E16" s="250"/>
      <c r="F16" s="250"/>
      <c r="G16" s="250"/>
      <c r="H16" s="286" t="str">
        <f t="shared" si="1"/>
        <v xml:space="preserve">  </v>
      </c>
      <c r="I16" s="251"/>
      <c r="J16" s="252"/>
      <c r="K16" s="253"/>
      <c r="L16" s="254"/>
      <c r="M16" s="255"/>
      <c r="N16" s="255"/>
    </row>
    <row r="17" spans="1:14" x14ac:dyDescent="0.3">
      <c r="A17" s="239"/>
      <c r="B17" s="169" t="str">
        <f t="shared" si="0"/>
        <v/>
      </c>
      <c r="C17" s="285" t="str">
        <f>IFERROR(VLOOKUP(A17,'Identificación de Riesgos'!$A$8:$Y$18,10,FALSE),"")</f>
        <v/>
      </c>
      <c r="D17" s="260"/>
      <c r="E17" s="170"/>
      <c r="F17" s="170"/>
      <c r="G17" s="170"/>
      <c r="H17" s="286" t="str">
        <f t="shared" si="1"/>
        <v xml:space="preserve">  </v>
      </c>
      <c r="I17" s="251"/>
      <c r="J17" s="252"/>
      <c r="K17" s="253"/>
      <c r="L17" s="254"/>
      <c r="M17" s="255"/>
      <c r="N17" s="255"/>
    </row>
    <row r="18" spans="1:14" x14ac:dyDescent="0.3">
      <c r="A18" s="239"/>
      <c r="B18" s="169" t="str">
        <f t="shared" si="0"/>
        <v/>
      </c>
      <c r="C18" s="285" t="str">
        <f>IFERROR(VLOOKUP(A18,'Identificación de Riesgos'!$A$8:$Y$18,10,FALSE),"")</f>
        <v/>
      </c>
      <c r="D18" s="261"/>
      <c r="E18" s="43"/>
      <c r="F18" s="43"/>
      <c r="G18" s="43"/>
      <c r="H18" s="286" t="str">
        <f t="shared" si="1"/>
        <v xml:space="preserve">  </v>
      </c>
      <c r="I18" s="251"/>
      <c r="J18" s="252"/>
      <c r="K18" s="253"/>
      <c r="L18" s="254"/>
      <c r="M18" s="255"/>
      <c r="N18" s="255"/>
    </row>
    <row r="19" spans="1:14" x14ac:dyDescent="0.3">
      <c r="A19" s="239"/>
      <c r="B19" s="169" t="str">
        <f t="shared" si="0"/>
        <v/>
      </c>
      <c r="C19" s="285" t="str">
        <f>IFERROR(VLOOKUP(A19,'Identificación de Riesgos'!$A$8:$Y$18,10,FALSE),"")</f>
        <v/>
      </c>
      <c r="D19" s="261"/>
      <c r="E19" s="43"/>
      <c r="F19" s="43"/>
      <c r="G19" s="43"/>
      <c r="H19" s="286" t="str">
        <f t="shared" si="1"/>
        <v xml:space="preserve">  </v>
      </c>
      <c r="I19" s="251"/>
      <c r="J19" s="252"/>
      <c r="K19" s="253"/>
      <c r="L19" s="254"/>
      <c r="M19" s="255"/>
      <c r="N19" s="255"/>
    </row>
    <row r="20" spans="1:14" x14ac:dyDescent="0.3">
      <c r="A20" s="239"/>
      <c r="B20" s="169" t="str">
        <f t="shared" si="0"/>
        <v/>
      </c>
      <c r="C20" s="285" t="str">
        <f>IFERROR(VLOOKUP(A20,'Identificación de Riesgos'!$A$8:$Y$18,10,FALSE),"")</f>
        <v/>
      </c>
      <c r="D20" s="261"/>
      <c r="E20" s="43"/>
      <c r="F20" s="43"/>
      <c r="G20" s="43"/>
      <c r="H20" s="286" t="str">
        <f t="shared" si="1"/>
        <v xml:space="preserve">  </v>
      </c>
      <c r="I20" s="251"/>
      <c r="J20" s="252"/>
      <c r="K20" s="253"/>
      <c r="L20" s="254"/>
      <c r="M20" s="255"/>
      <c r="N20" s="255"/>
    </row>
    <row r="21" spans="1:14" x14ac:dyDescent="0.3">
      <c r="A21" s="239"/>
      <c r="B21" s="169" t="str">
        <f t="shared" si="0"/>
        <v/>
      </c>
      <c r="C21" s="285" t="str">
        <f>IFERROR(VLOOKUP(A21,'Identificación de Riesgos'!$A$8:$Y$18,10,FALSE),"")</f>
        <v/>
      </c>
      <c r="D21" s="261"/>
      <c r="E21" s="43"/>
      <c r="F21" s="43"/>
      <c r="G21" s="43"/>
      <c r="H21" s="286" t="str">
        <f t="shared" si="1"/>
        <v xml:space="preserve">  </v>
      </c>
      <c r="I21" s="251"/>
      <c r="J21" s="252"/>
      <c r="K21" s="253"/>
      <c r="L21" s="254"/>
      <c r="M21" s="255"/>
      <c r="N21" s="255"/>
    </row>
    <row r="22" spans="1:14" x14ac:dyDescent="0.3">
      <c r="A22" s="239"/>
      <c r="B22" s="169" t="str">
        <f t="shared" si="0"/>
        <v/>
      </c>
      <c r="C22" s="285" t="str">
        <f>IFERROR(VLOOKUP(A22,'Identificación de Riesgos'!$A$8:$Y$18,10,FALSE),"")</f>
        <v/>
      </c>
      <c r="D22" s="261"/>
      <c r="E22" s="43"/>
      <c r="F22" s="43"/>
      <c r="G22" s="43"/>
      <c r="H22" s="286" t="str">
        <f t="shared" si="1"/>
        <v xml:space="preserve">  </v>
      </c>
      <c r="I22" s="251"/>
      <c r="J22" s="252"/>
      <c r="K22" s="253"/>
      <c r="L22" s="254"/>
      <c r="M22" s="255"/>
      <c r="N22" s="255"/>
    </row>
    <row r="23" spans="1:14" x14ac:dyDescent="0.3">
      <c r="A23" s="239"/>
      <c r="B23" s="169" t="str">
        <f t="shared" si="0"/>
        <v/>
      </c>
      <c r="C23" s="285" t="str">
        <f>IFERROR(VLOOKUP(A23,'Identificación de Riesgos'!$A$8:$Y$18,10,FALSE),"")</f>
        <v/>
      </c>
      <c r="D23" s="261"/>
      <c r="E23" s="43"/>
      <c r="F23" s="43"/>
      <c r="G23" s="43"/>
      <c r="H23" s="286" t="str">
        <f t="shared" si="1"/>
        <v xml:space="preserve">  </v>
      </c>
      <c r="I23" s="251"/>
      <c r="J23" s="252"/>
      <c r="K23" s="253"/>
      <c r="L23" s="254"/>
      <c r="M23" s="255"/>
      <c r="N23" s="255"/>
    </row>
    <row r="24" spans="1:14" ht="15.75" customHeight="1" x14ac:dyDescent="0.3">
      <c r="A24" s="239"/>
      <c r="B24" s="169" t="str">
        <f t="shared" si="0"/>
        <v/>
      </c>
      <c r="C24" s="285" t="str">
        <f>IFERROR(VLOOKUP(A24,'Identificación de Riesgos'!$A$8:$Y$18,10,FALSE),"")</f>
        <v/>
      </c>
      <c r="D24" s="261"/>
      <c r="E24" s="43"/>
      <c r="F24" s="43"/>
      <c r="G24" s="43"/>
      <c r="H24" s="286" t="str">
        <f t="shared" si="1"/>
        <v xml:space="preserve">  </v>
      </c>
      <c r="I24" s="251"/>
      <c r="J24" s="252"/>
      <c r="K24" s="253"/>
      <c r="L24" s="254"/>
      <c r="M24" s="255"/>
      <c r="N24" s="255"/>
    </row>
    <row r="25" spans="1:14" x14ac:dyDescent="0.3">
      <c r="A25" s="239"/>
      <c r="B25" s="169" t="str">
        <f t="shared" si="0"/>
        <v/>
      </c>
      <c r="C25" s="285" t="str">
        <f>IFERROR(VLOOKUP(A25,'Identificación de Riesgos'!$A$8:$Y$18,10,FALSE),"")</f>
        <v/>
      </c>
      <c r="D25" s="261"/>
      <c r="E25" s="43"/>
      <c r="F25" s="43"/>
      <c r="G25" s="43"/>
      <c r="H25" s="286" t="str">
        <f t="shared" si="1"/>
        <v xml:space="preserve">  </v>
      </c>
      <c r="I25" s="251"/>
      <c r="J25" s="252"/>
      <c r="K25" s="253"/>
      <c r="L25" s="254"/>
      <c r="M25" s="255"/>
      <c r="N25" s="255"/>
    </row>
    <row r="26" spans="1:14" x14ac:dyDescent="0.3">
      <c r="A26" s="239"/>
      <c r="B26" s="169" t="str">
        <f t="shared" si="0"/>
        <v/>
      </c>
      <c r="C26" s="285" t="str">
        <f>IFERROR(VLOOKUP(A26,'Identificación de Riesgos'!$A$8:$Y$18,10,FALSE),"")</f>
        <v/>
      </c>
      <c r="D26" s="261"/>
      <c r="E26" s="43"/>
      <c r="F26" s="43"/>
      <c r="G26" s="43"/>
      <c r="H26" s="286" t="str">
        <f t="shared" si="1"/>
        <v xml:space="preserve">  </v>
      </c>
      <c r="I26" s="251"/>
      <c r="J26" s="252"/>
      <c r="K26" s="253"/>
      <c r="L26" s="254"/>
      <c r="M26" s="255"/>
      <c r="N26" s="255"/>
    </row>
    <row r="27" spans="1:14" x14ac:dyDescent="0.3">
      <c r="A27" s="239"/>
      <c r="B27" s="169" t="str">
        <f t="shared" si="0"/>
        <v/>
      </c>
      <c r="C27" s="285" t="str">
        <f>IFERROR(VLOOKUP(A27,'Identificación de Riesgos'!$A$8:$Y$18,10,FALSE),"")</f>
        <v/>
      </c>
      <c r="D27" s="261"/>
      <c r="E27" s="43"/>
      <c r="F27" s="43"/>
      <c r="G27" s="43"/>
      <c r="H27" s="286" t="str">
        <f t="shared" si="1"/>
        <v xml:space="preserve">  </v>
      </c>
      <c r="I27" s="251"/>
      <c r="J27" s="252"/>
      <c r="K27" s="253"/>
      <c r="L27" s="254"/>
      <c r="M27" s="255"/>
      <c r="N27" s="255"/>
    </row>
    <row r="28" spans="1:14" ht="15" customHeight="1" x14ac:dyDescent="0.3">
      <c r="A28" s="239"/>
      <c r="B28" s="169" t="str">
        <f t="shared" si="0"/>
        <v/>
      </c>
      <c r="C28" s="285" t="str">
        <f>IFERROR(VLOOKUP(A28,'Identificación de Riesgos'!$A$8:$Y$18,10,FALSE),"")</f>
        <v/>
      </c>
      <c r="D28" s="261"/>
      <c r="E28" s="43"/>
      <c r="F28" s="43"/>
      <c r="G28" s="43"/>
      <c r="H28" s="286" t="str">
        <f t="shared" si="1"/>
        <v xml:space="preserve">  </v>
      </c>
      <c r="I28" s="251"/>
      <c r="J28" s="252"/>
      <c r="K28" s="253"/>
      <c r="L28" s="254"/>
      <c r="M28" s="255"/>
      <c r="N28" s="255"/>
    </row>
    <row r="29" spans="1:14" x14ac:dyDescent="0.3">
      <c r="A29" s="239"/>
      <c r="B29" s="169" t="str">
        <f t="shared" si="0"/>
        <v/>
      </c>
      <c r="C29" s="285" t="str">
        <f>IFERROR(VLOOKUP(A29,'Identificación de Riesgos'!$A$8:$Y$18,10,FALSE),"")</f>
        <v/>
      </c>
      <c r="D29" s="261"/>
      <c r="E29" s="43"/>
      <c r="F29" s="43"/>
      <c r="G29" s="43"/>
      <c r="H29" s="286" t="str">
        <f t="shared" si="1"/>
        <v xml:space="preserve">  </v>
      </c>
      <c r="I29" s="251"/>
      <c r="J29" s="252"/>
      <c r="K29" s="253"/>
      <c r="L29" s="254"/>
      <c r="M29" s="255"/>
      <c r="N29" s="255"/>
    </row>
    <row r="30" spans="1:14" x14ac:dyDescent="0.3">
      <c r="A30" s="239"/>
      <c r="B30" s="169" t="str">
        <f t="shared" si="0"/>
        <v/>
      </c>
      <c r="C30" s="285" t="str">
        <f>IFERROR(VLOOKUP(A30,'Identificación de Riesgos'!$A$8:$Y$18,10,FALSE),"")</f>
        <v/>
      </c>
      <c r="D30" s="261"/>
      <c r="E30" s="43"/>
      <c r="F30" s="43"/>
      <c r="G30" s="43"/>
      <c r="H30" s="286" t="str">
        <f t="shared" si="1"/>
        <v xml:space="preserve">  </v>
      </c>
      <c r="I30" s="251"/>
      <c r="J30" s="252"/>
      <c r="K30" s="253"/>
      <c r="L30" s="254"/>
      <c r="M30" s="255"/>
      <c r="N30" s="255"/>
    </row>
    <row r="31" spans="1:14" x14ac:dyDescent="0.3">
      <c r="A31" s="239"/>
      <c r="B31" s="169" t="str">
        <f t="shared" si="0"/>
        <v/>
      </c>
      <c r="C31" s="285" t="str">
        <f>IFERROR(VLOOKUP(A31,'Identificación de Riesgos'!$A$8:$Y$18,10,FALSE),"")</f>
        <v/>
      </c>
      <c r="D31" s="261"/>
      <c r="E31" s="43"/>
      <c r="F31" s="43"/>
      <c r="G31" s="43"/>
      <c r="H31" s="286" t="str">
        <f t="shared" si="1"/>
        <v xml:space="preserve">  </v>
      </c>
      <c r="I31" s="251"/>
      <c r="J31" s="252"/>
      <c r="K31" s="253"/>
      <c r="L31" s="254"/>
      <c r="M31" s="255"/>
      <c r="N31" s="255"/>
    </row>
    <row r="32" spans="1:14" x14ac:dyDescent="0.3">
      <c r="A32" s="239"/>
      <c r="B32" s="169" t="str">
        <f t="shared" si="0"/>
        <v/>
      </c>
      <c r="C32" s="285" t="str">
        <f>IFERROR(VLOOKUP(A32,'Identificación de Riesgos'!$A$8:$Y$18,10,FALSE),"")</f>
        <v/>
      </c>
      <c r="D32" s="261"/>
      <c r="E32" s="43"/>
      <c r="F32" s="43"/>
      <c r="G32" s="43"/>
      <c r="H32" s="286" t="str">
        <f t="shared" si="1"/>
        <v xml:space="preserve">  </v>
      </c>
      <c r="I32" s="251"/>
      <c r="J32" s="252"/>
      <c r="K32" s="253"/>
      <c r="L32" s="254"/>
      <c r="M32" s="255"/>
      <c r="N32" s="255"/>
    </row>
    <row r="33" spans="1:14" x14ac:dyDescent="0.3">
      <c r="A33" s="239"/>
      <c r="B33" s="169" t="str">
        <f t="shared" si="0"/>
        <v/>
      </c>
      <c r="C33" s="285" t="str">
        <f>IFERROR(VLOOKUP(A33,'Identificación de Riesgos'!$A$8:$Y$18,10,FALSE),"")</f>
        <v/>
      </c>
      <c r="D33" s="261"/>
      <c r="E33" s="43"/>
      <c r="F33" s="43"/>
      <c r="G33" s="43"/>
      <c r="H33" s="286" t="str">
        <f t="shared" si="1"/>
        <v xml:space="preserve">  </v>
      </c>
      <c r="I33" s="251"/>
      <c r="J33" s="252"/>
      <c r="K33" s="253"/>
      <c r="L33" s="254"/>
      <c r="M33" s="255"/>
      <c r="N33" s="255"/>
    </row>
    <row r="34" spans="1:14" x14ac:dyDescent="0.3">
      <c r="A34" s="239"/>
      <c r="B34" s="169" t="str">
        <f t="shared" si="0"/>
        <v/>
      </c>
      <c r="C34" s="285" t="str">
        <f>IFERROR(VLOOKUP(A34,'Identificación de Riesgos'!$A$8:$Y$18,10,FALSE),"")</f>
        <v/>
      </c>
      <c r="D34" s="261"/>
      <c r="E34" s="43"/>
      <c r="F34" s="43"/>
      <c r="G34" s="43"/>
      <c r="H34" s="286" t="str">
        <f t="shared" si="1"/>
        <v xml:space="preserve">  </v>
      </c>
      <c r="I34" s="251"/>
      <c r="J34" s="252"/>
      <c r="K34" s="253"/>
      <c r="L34" s="254"/>
      <c r="M34" s="255"/>
      <c r="N34" s="255"/>
    </row>
    <row r="35" spans="1:14" x14ac:dyDescent="0.3">
      <c r="A35" s="239"/>
      <c r="B35" s="169" t="str">
        <f t="shared" si="0"/>
        <v/>
      </c>
      <c r="C35" s="285" t="str">
        <f>IFERROR(VLOOKUP(A35,'Identificación de Riesgos'!$A$8:$Y$18,10,FALSE),"")</f>
        <v/>
      </c>
      <c r="D35" s="261"/>
      <c r="E35" s="43"/>
      <c r="F35" s="43"/>
      <c r="G35" s="43"/>
      <c r="H35" s="286" t="str">
        <f t="shared" si="1"/>
        <v xml:space="preserve">  </v>
      </c>
      <c r="I35" s="251"/>
      <c r="J35" s="252"/>
      <c r="K35" s="253"/>
      <c r="L35" s="254"/>
      <c r="M35" s="255"/>
      <c r="N35" s="255"/>
    </row>
    <row r="36" spans="1:14" x14ac:dyDescent="0.3">
      <c r="A36" s="239"/>
      <c r="B36" s="169" t="str">
        <f t="shared" si="0"/>
        <v/>
      </c>
      <c r="C36" s="285" t="str">
        <f>IFERROR(VLOOKUP(A36,'Identificación de Riesgos'!$A$8:$Y$18,10,FALSE),"")</f>
        <v/>
      </c>
      <c r="D36" s="261"/>
      <c r="E36" s="43"/>
      <c r="F36" s="43"/>
      <c r="G36" s="43"/>
      <c r="H36" s="286" t="str">
        <f t="shared" si="1"/>
        <v xml:space="preserve">  </v>
      </c>
      <c r="I36" s="251"/>
      <c r="J36" s="252"/>
      <c r="K36" s="253"/>
      <c r="L36" s="254"/>
      <c r="M36" s="255"/>
      <c r="N36" s="255"/>
    </row>
    <row r="37" spans="1:14" x14ac:dyDescent="0.3">
      <c r="A37" s="239"/>
      <c r="B37" s="169" t="str">
        <f t="shared" si="0"/>
        <v/>
      </c>
      <c r="C37" s="285" t="str">
        <f>IFERROR(VLOOKUP(A37,'Identificación de Riesgos'!$A$8:$Y$18,10,FALSE),"")</f>
        <v/>
      </c>
      <c r="D37" s="261"/>
      <c r="E37" s="43"/>
      <c r="F37" s="43"/>
      <c r="G37" s="43"/>
      <c r="H37" s="286" t="str">
        <f t="shared" si="1"/>
        <v xml:space="preserve">  </v>
      </c>
      <c r="I37" s="251"/>
      <c r="J37" s="252"/>
      <c r="K37" s="253"/>
      <c r="L37" s="254"/>
      <c r="M37" s="255"/>
      <c r="N37" s="255"/>
    </row>
  </sheetData>
  <sheetProtection algorithmName="SHA-512" hashValue="gz9FdCPtlwhjhfn6fWENTI+/vLdvWBe0scopweylfuznco5xeHu4wJ7q6abHnfop1sXBCQfSKSTFzIy1emWXkg==" saltValue="LzgeUk+kDum53SsUgojOJA==" spinCount="100000" sheet="1" objects="1" scenarios="1" formatCells="0" formatColumns="0" formatRows="0"/>
  <mergeCells count="5">
    <mergeCell ref="A1:N4"/>
    <mergeCell ref="A6:C6"/>
    <mergeCell ref="D6:H6"/>
    <mergeCell ref="I6:J6"/>
    <mergeCell ref="K6:N6"/>
  </mergeCells>
  <phoneticPr fontId="66" type="noConversion"/>
  <dataValidations count="1">
    <dataValidation type="date" allowBlank="1" showInputMessage="1" showErrorMessage="1" promptTitle="FECHA DE ELABORACIÓN" prompt="Digite la fecha de elaboración del mapa de riesgos." sqref="IW1:IW4 SS1:SS4 ACO1:ACO4 AMK1:AMK4 AWG1:AWG4 BGC1:BGC4 BPY1:BPY4 BZU1:BZU4 CJQ1:CJQ4 CTM1:CTM4 DDI1:DDI4 DNE1:DNE4 DXA1:DXA4 EGW1:EGW4 EQS1:EQS4 FAO1:FAO4 FKK1:FKK4 FUG1:FUG4 GEC1:GEC4 GNY1:GNY4 GXU1:GXU4 HHQ1:HHQ4 HRM1:HRM4 IBI1:IBI4 ILE1:ILE4 IVA1:IVA4 JEW1:JEW4 JOS1:JOS4 JYO1:JYO4 KIK1:KIK4 KSG1:KSG4 LCC1:LCC4 LLY1:LLY4 LVU1:LVU4 MFQ1:MFQ4 MPM1:MPM4 MZI1:MZI4 NJE1:NJE4 NTA1:NTA4 OCW1:OCW4 OMS1:OMS4 OWO1:OWO4 PGK1:PGK4 PQG1:PQG4 QAC1:QAC4 QJY1:QJY4 QTU1:QTU4 RDQ1:RDQ4 RNM1:RNM4 RXI1:RXI4 SHE1:SHE4 SRA1:SRA4 TAW1:TAW4 TKS1:TKS4 TUO1:TUO4 UEK1:UEK4 UOG1:UOG4 UYC1:UYC4 VHY1:VHY4 VRU1:VRU4 WBQ1:WBQ4 WLM1:WLM4 WVI1:WVI4" xr:uid="{57A4C379-51E8-465A-8184-07873856EAC2}">
      <formula1>39448</formula1>
      <formula2>40543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4082E24-D3DF-4C56-95E2-29B1B7278D34}">
          <x14:formula1>
            <xm:f>'Tablas de validación'!$D$39:$D$40</xm:f>
          </x14:formula1>
          <xm:sqref>J8:J37</xm:sqref>
        </x14:dataValidation>
        <x14:dataValidation type="list" allowBlank="1" showInputMessage="1" showErrorMessage="1" xr:uid="{048B5920-BAFC-4F23-973F-74981A4945A6}">
          <x14:formula1>
            <xm:f>'Tablas de validación'!$B$39:$B$41</xm:f>
          </x14:formula1>
          <xm:sqref>I8:I37</xm:sqref>
        </x14:dataValidation>
        <x14:dataValidation type="list" allowBlank="1" showInputMessage="1" showErrorMessage="1" xr:uid="{0B367732-FDBD-4F9E-AC2C-2D9416C289C6}">
          <x14:formula1>
            <xm:f>'Tablas de validación'!$J$39:$J$40</xm:f>
          </x14:formula1>
          <xm:sqref>L8:L37</xm:sqref>
        </x14:dataValidation>
        <x14:dataValidation type="list" allowBlank="1" showInputMessage="1" showErrorMessage="1" xr:uid="{B803024A-9F98-4874-BC77-B2154610D170}">
          <x14:formula1>
            <xm:f>'Tablas de validación'!$H$39:$H$40</xm:f>
          </x14:formula1>
          <xm:sqref>M8:M37</xm:sqref>
        </x14:dataValidation>
        <x14:dataValidation type="list" allowBlank="1" showInputMessage="1" showErrorMessage="1" xr:uid="{48A831A1-4914-4595-ADA8-420EB3AE7B62}">
          <x14:formula1>
            <xm:f>'Tablas de validación'!$K$39:$K$41</xm:f>
          </x14:formula1>
          <xm:sqref>N8:N37</xm:sqref>
        </x14:dataValidation>
        <x14:dataValidation type="list" allowBlank="1" showInputMessage="1" showErrorMessage="1" xr:uid="{DCC026C6-C4F6-494F-9CE4-99A2241665A7}">
          <x14:formula1>
            <xm:f>'Identificación de Riesgos'!$A$8:$A$19</xm:f>
          </x14:formula1>
          <xm:sqref>A8:A37</xm:sqref>
        </x14:dataValidation>
        <x14:dataValidation type="list" allowBlank="1" showInputMessage="1" showErrorMessage="1" xr:uid="{DA77D099-EFF9-4B2A-BED9-AF1BEF2435A1}">
          <x14:formula1>
            <xm:f>'Tablas de validación'!$F$39:$F$42</xm:f>
          </x14:formula1>
          <xm:sqref>K8:K37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7330-8A22-44E5-A8EA-5002B19A61D6}">
  <dimension ref="A3:W57"/>
  <sheetViews>
    <sheetView topLeftCell="A10" workbookViewId="0">
      <selection activeCell="U47" sqref="U47"/>
    </sheetView>
  </sheetViews>
  <sheetFormatPr baseColWidth="10" defaultColWidth="11.44140625" defaultRowHeight="14.4" x14ac:dyDescent="0.3"/>
  <sheetData>
    <row r="3" spans="1:14" x14ac:dyDescent="0.3">
      <c r="A3" s="167" t="s">
        <v>261</v>
      </c>
      <c r="B3" s="167"/>
      <c r="F3" s="262"/>
      <c r="G3" s="262"/>
      <c r="H3" s="262"/>
      <c r="I3" s="262"/>
      <c r="J3" s="262"/>
      <c r="K3" s="262"/>
      <c r="L3" s="262"/>
      <c r="M3" s="262"/>
      <c r="N3" s="262"/>
    </row>
    <row r="4" spans="1:14" x14ac:dyDescent="0.3">
      <c r="A4" s="167">
        <f>'Identificación de Riesgos'!A8</f>
        <v>0</v>
      </c>
      <c r="B4" s="264" t="str">
        <f>D29</f>
        <v/>
      </c>
      <c r="D4" s="263"/>
      <c r="E4" s="262"/>
      <c r="G4" s="262"/>
      <c r="H4" s="262"/>
      <c r="I4" s="262"/>
      <c r="J4" s="262"/>
      <c r="K4" s="262"/>
      <c r="L4" s="262"/>
      <c r="M4" s="262"/>
      <c r="N4" s="262"/>
    </row>
    <row r="5" spans="1:14" x14ac:dyDescent="0.3">
      <c r="A5" s="167">
        <f>'Identificación de Riesgos'!A9</f>
        <v>0</v>
      </c>
      <c r="B5" s="264" t="str">
        <f>J29</f>
        <v/>
      </c>
      <c r="D5" s="263"/>
      <c r="F5" s="262"/>
      <c r="G5" s="262"/>
      <c r="H5" s="262"/>
      <c r="I5" s="262"/>
      <c r="J5" s="262"/>
      <c r="K5" s="262"/>
      <c r="L5" s="262"/>
      <c r="M5" s="262"/>
      <c r="N5" s="262"/>
    </row>
    <row r="6" spans="1:14" x14ac:dyDescent="0.3">
      <c r="A6" s="167">
        <f>'Identificación de Riesgos'!A10</f>
        <v>0</v>
      </c>
      <c r="B6" s="265" t="str">
        <f>P29</f>
        <v/>
      </c>
      <c r="C6" s="263"/>
      <c r="D6" s="263"/>
      <c r="F6" s="262"/>
      <c r="G6" s="262"/>
      <c r="H6" s="262"/>
      <c r="I6" s="262"/>
      <c r="J6" s="262"/>
      <c r="K6" s="262"/>
      <c r="L6" s="262"/>
      <c r="M6" s="262"/>
      <c r="N6" s="262"/>
    </row>
    <row r="7" spans="1:14" x14ac:dyDescent="0.3">
      <c r="A7" s="167">
        <f>'Identificación de Riesgos'!A11</f>
        <v>0</v>
      </c>
      <c r="B7" s="265" t="str">
        <f>V29</f>
        <v/>
      </c>
      <c r="C7" s="263"/>
      <c r="D7" s="263"/>
      <c r="F7" s="262"/>
      <c r="G7" s="262"/>
      <c r="H7" s="262"/>
      <c r="I7" s="262"/>
      <c r="J7" s="262"/>
      <c r="K7" s="262"/>
      <c r="L7" s="262"/>
      <c r="M7" s="262"/>
      <c r="N7" s="262"/>
    </row>
    <row r="8" spans="1:14" x14ac:dyDescent="0.3">
      <c r="A8" s="167">
        <f>'Identificación de Riesgos'!A12</f>
        <v>0</v>
      </c>
      <c r="B8" s="265" t="str">
        <f>D43</f>
        <v/>
      </c>
      <c r="C8" s="263"/>
      <c r="D8" s="263"/>
      <c r="F8" s="262"/>
      <c r="G8" s="262"/>
      <c r="H8" s="262"/>
      <c r="I8" s="262"/>
      <c r="J8" s="262"/>
      <c r="K8" s="262"/>
      <c r="L8" s="262"/>
      <c r="M8" s="262"/>
      <c r="N8" s="262"/>
    </row>
    <row r="9" spans="1:14" x14ac:dyDescent="0.3">
      <c r="A9" s="167">
        <f>'Identificación de Riesgos'!A13</f>
        <v>0</v>
      </c>
      <c r="B9" s="265" t="str">
        <f>J43</f>
        <v/>
      </c>
      <c r="C9" s="263"/>
      <c r="D9" s="263"/>
      <c r="F9" s="262"/>
      <c r="G9" s="262"/>
      <c r="H9" s="262"/>
      <c r="I9" s="262"/>
      <c r="J9" s="262"/>
      <c r="K9" s="262"/>
      <c r="L9" s="262"/>
      <c r="M9" s="262"/>
      <c r="N9" s="262"/>
    </row>
    <row r="10" spans="1:14" x14ac:dyDescent="0.3">
      <c r="A10" s="167">
        <f>'Identificación de Riesgos'!A14</f>
        <v>0</v>
      </c>
      <c r="B10" s="265" t="str">
        <f>P43</f>
        <v/>
      </c>
      <c r="C10" s="263"/>
      <c r="D10" s="263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 x14ac:dyDescent="0.3">
      <c r="A11" s="167">
        <f>'Identificación de Riesgos'!A15</f>
        <v>0</v>
      </c>
      <c r="B11" s="265" t="str">
        <f>V43</f>
        <v/>
      </c>
      <c r="C11" s="263"/>
      <c r="D11" s="263"/>
      <c r="F11" s="262"/>
      <c r="G11" s="262"/>
      <c r="H11" s="262"/>
      <c r="I11" s="262"/>
      <c r="J11" s="262"/>
      <c r="K11" s="262"/>
      <c r="L11" s="262"/>
      <c r="M11" s="262"/>
      <c r="N11" s="262"/>
    </row>
    <row r="12" spans="1:14" x14ac:dyDescent="0.3">
      <c r="A12" s="167">
        <f>'Identificación de Riesgos'!A16</f>
        <v>0</v>
      </c>
      <c r="B12" s="265" t="str">
        <f>D57</f>
        <v/>
      </c>
      <c r="C12" s="263"/>
      <c r="D12" s="263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 x14ac:dyDescent="0.3">
      <c r="A13" s="167">
        <f>'Identificación de Riesgos'!A17</f>
        <v>0</v>
      </c>
      <c r="B13" s="265" t="str">
        <f>J57</f>
        <v/>
      </c>
      <c r="C13" s="263"/>
      <c r="D13" s="263"/>
      <c r="F13" s="262"/>
      <c r="G13" s="262"/>
      <c r="H13" s="262"/>
      <c r="I13" s="262"/>
      <c r="J13" s="262"/>
      <c r="K13" s="262"/>
      <c r="L13" s="262"/>
      <c r="M13" s="262"/>
      <c r="N13" s="262"/>
    </row>
    <row r="14" spans="1:14" x14ac:dyDescent="0.3">
      <c r="A14" s="167">
        <f>'Identificación de Riesgos'!A18</f>
        <v>0</v>
      </c>
      <c r="B14" s="265" t="str">
        <f>P57</f>
        <v/>
      </c>
      <c r="C14" s="263"/>
      <c r="D14" s="263"/>
      <c r="F14" s="262"/>
      <c r="G14" s="262"/>
      <c r="H14" s="262"/>
      <c r="I14" s="262"/>
      <c r="J14" s="262"/>
      <c r="K14" s="262"/>
      <c r="L14" s="262"/>
      <c r="M14" s="262"/>
      <c r="N14" s="262"/>
    </row>
    <row r="15" spans="1:14" x14ac:dyDescent="0.3">
      <c r="A15" s="167">
        <f>'Identificación de Riesgos'!A19</f>
        <v>0</v>
      </c>
      <c r="B15" s="265" t="str">
        <f>V57</f>
        <v/>
      </c>
      <c r="C15" s="263"/>
      <c r="D15" s="263"/>
      <c r="F15" s="262"/>
      <c r="G15" s="262"/>
      <c r="H15" s="262"/>
      <c r="I15" s="262"/>
      <c r="J15" s="262"/>
      <c r="K15" s="262"/>
      <c r="L15" s="262"/>
      <c r="M15" s="262"/>
      <c r="N15" s="262"/>
    </row>
    <row r="17" spans="1:23" x14ac:dyDescent="0.3">
      <c r="B17" s="88" t="s">
        <v>164</v>
      </c>
      <c r="C17" s="88" t="s">
        <v>177</v>
      </c>
      <c r="H17" s="88" t="s">
        <v>164</v>
      </c>
      <c r="I17" s="88" t="s">
        <v>177</v>
      </c>
      <c r="N17" s="88" t="s">
        <v>164</v>
      </c>
      <c r="O17" s="88" t="s">
        <v>177</v>
      </c>
      <c r="T17" s="88" t="s">
        <v>164</v>
      </c>
      <c r="U17" s="88" t="s">
        <v>177</v>
      </c>
    </row>
    <row r="18" spans="1:23" x14ac:dyDescent="0.3">
      <c r="A18" s="258">
        <f>'Identificación de Riesgos'!A8</f>
        <v>0</v>
      </c>
      <c r="B18" s="257" t="str">
        <f>IFERROR(VLOOKUP(A18,'Identificación de Riesgos'!$A$8:$Y$18,14,FALSE),"")</f>
        <v/>
      </c>
      <c r="C18" s="257" t="str">
        <f>IFERROR(VLOOKUP(A18,'Identificación de Riesgos'!$A$8:$Y$18,22,FALSE),"")</f>
        <v/>
      </c>
      <c r="D18" s="258" t="s">
        <v>274</v>
      </c>
      <c r="E18" s="258" t="s">
        <v>275</v>
      </c>
      <c r="G18" s="258">
        <f>'Identificación de Riesgos'!A9</f>
        <v>0</v>
      </c>
      <c r="H18" s="257" t="str">
        <f>IFERROR(VLOOKUP(G18,'Identificación de Riesgos'!$A$8:$Y$18,14,FALSE),"")</f>
        <v/>
      </c>
      <c r="I18" s="257" t="str">
        <f>IFERROR(VLOOKUP(G18,'Identificación de Riesgos'!$A$8:$Y$18,22,FALSE),"")</f>
        <v/>
      </c>
      <c r="J18" s="258" t="s">
        <v>274</v>
      </c>
      <c r="K18" s="258" t="s">
        <v>275</v>
      </c>
      <c r="M18" s="88">
        <f>'Identificación de Riesgos'!A10</f>
        <v>0</v>
      </c>
      <c r="N18" s="257" t="str">
        <f>IFERROR(VLOOKUP(M18,'Identificación de Riesgos'!$A$8:$Y$18,14,FALSE),"")</f>
        <v/>
      </c>
      <c r="O18" s="257" t="str">
        <f>IFERROR(VLOOKUP(M18,'Identificación de Riesgos'!$A$8:$Y$18,22,FALSE),"")</f>
        <v/>
      </c>
      <c r="P18" s="258" t="s">
        <v>274</v>
      </c>
      <c r="Q18" s="258" t="s">
        <v>275</v>
      </c>
      <c r="S18" s="88">
        <f>'Identificación de Riesgos'!A11</f>
        <v>0</v>
      </c>
      <c r="T18" s="257" t="str">
        <f>IFERROR(VLOOKUP(S18,'Identificación de Riesgos'!$A$8:$Y$18,14,FALSE),"")</f>
        <v/>
      </c>
      <c r="U18" s="257" t="str">
        <f>IFERROR(VLOOKUP(S18,'Identificación de Riesgos'!$A$8:$Y$18,22,FALSE),"")</f>
        <v/>
      </c>
      <c r="V18" s="258" t="s">
        <v>274</v>
      </c>
      <c r="W18" s="258" t="s">
        <v>275</v>
      </c>
    </row>
    <row r="19" spans="1:23" x14ac:dyDescent="0.3">
      <c r="A19" s="258">
        <v>1</v>
      </c>
      <c r="B19" s="257" t="str">
        <f>IF(OR(D19="Preventivo",D19="detectivo"),B18-(B18*E19),B18)</f>
        <v/>
      </c>
      <c r="C19" s="257" t="str">
        <f>IF(D19="Correctivo",C18-(C18*E19),C18)</f>
        <v/>
      </c>
      <c r="D19" s="88" t="str">
        <f>IFERROR(IF(VLOOKUP(_xlfn.CONCAT($A$18,$A19),Controles!$B$8:$N$37,8,FALSE)=0,"",VLOOKUP(_xlfn.CONCAT($A$18,$A19),Controles!$B$8:$N$37,8,FALSE)),"")</f>
        <v/>
      </c>
      <c r="E19" s="258" t="str">
        <f>IFERROR(VLOOKUP(IFERROR(IF(VLOOKUP(_xlfn.CONCAT($A$18,$A19),Controles!$B$8:$N$37,8,FALSE)=0,"",VLOOKUP(_xlfn.CONCAT($A$18,$A19),Controles!$B$8:$N$37,8,FALSE)),""),'Tablas de validación'!$B$39:$C$41,2,FALSE)+VLOOKUP(IFERROR(IF(VLOOKUP(_xlfn.CONCAT($A$18,$A19),Controles!$B$8:$N$37,9,FALSE)=0,"",VLOOKUP(_xlfn.CONCAT($A$18,$A19),Controles!$B$8:$N$37,9,FALSE)),""),'Tablas de validación'!$D$39:$E$40,2,FALSE),"")</f>
        <v/>
      </c>
      <c r="G19" s="258">
        <v>1</v>
      </c>
      <c r="H19" s="257" t="str">
        <f>IF(OR(J19="Preventivo",J19="detectivo"),H18-(H18*K19),H18)</f>
        <v/>
      </c>
      <c r="I19" s="257" t="str">
        <f>IF(J19="Correctivo",I18-(I18*K19),I18)</f>
        <v/>
      </c>
      <c r="J19" s="88" t="str">
        <f>IFERROR(IF(VLOOKUP(_xlfn.CONCAT($G$18,$G19),Controles!$B$8:$N$37,8,FALSE)=0,"",VLOOKUP(_xlfn.CONCAT($G$18,$G19),Controles!$B$8:$N$37,8,FALSE)),"")</f>
        <v/>
      </c>
      <c r="K19" s="258" t="str">
        <f>IFERROR(VLOOKUP(IFERROR(IF(VLOOKUP(_xlfn.CONCAT($G$18,$G19),Controles!$B$8:$N$37,8,FALSE)=0,"",VLOOKUP(_xlfn.CONCAT($G$18,$G19),Controles!$B$8:$N$37,8,FALSE)),""),'Tablas de validación'!$B$39:$C$41,2,FALSE)+VLOOKUP(IFERROR(IF(VLOOKUP(_xlfn.CONCAT($G$18,$G19),Controles!$B$8:$N$37,9,FALSE)=0,"",VLOOKUP(_xlfn.CONCAT($G$18,$G19),Controles!$B$8:$N$37,9,FALSE)),""),'Tablas de validación'!$D$39:$E$40,2,FALSE),"")</f>
        <v/>
      </c>
      <c r="M19" s="258">
        <v>1</v>
      </c>
      <c r="N19" s="257" t="str">
        <f>IF(OR(P19="Preventivo",P19="detectivo"),N18-(N18*Q19),N18)</f>
        <v/>
      </c>
      <c r="O19" s="257" t="str">
        <f>IF(P19="Correctivo",O18-(O18*Q19),O18)</f>
        <v/>
      </c>
      <c r="P19" s="88" t="str">
        <f>IFERROR(IF(VLOOKUP(_xlfn.CONCAT($M$18,$M19),Controles!$B$8:$N$37,8,FALSE)=0,"",VLOOKUP(_xlfn.CONCAT($M$18,$M19),Controles!$B$8:$N$37,8,FALSE)),"")</f>
        <v/>
      </c>
      <c r="Q19" s="258" t="str">
        <f>IFERROR(VLOOKUP(IFERROR(IF(VLOOKUP(_xlfn.CONCAT($M$18,$M19),Controles!$B$8:$N$37,8,FALSE)=0,"",VLOOKUP(_xlfn.CONCAT($M$18,$M19),Controles!$B$8:$N$37,8,FALSE)),""),'Tablas de validación'!$B$39:$C$41,2,FALSE)+VLOOKUP(IFERROR(IF(VLOOKUP(_xlfn.CONCAT($M$18,$M19),Controles!$B$8:$N$37,9,FALSE)=0,"",VLOOKUP(_xlfn.CONCAT($M$18,$G19),Controles!$B$8:$N$37,9,FALSE)),""),'Tablas de validación'!$D$39:$E$40,2,FALSE),"")</f>
        <v/>
      </c>
      <c r="S19" s="258">
        <v>1</v>
      </c>
      <c r="T19" s="257" t="str">
        <f>IF(OR(V19="Preventivo",V19="detectivo"),T18-(T18*W19),T18)</f>
        <v/>
      </c>
      <c r="U19" s="257" t="str">
        <f>IF(V19="Correctivo",U18-(U18*W19),U18)</f>
        <v/>
      </c>
      <c r="V19" s="88" t="str">
        <f>IFERROR(IF(VLOOKUP(_xlfn.CONCAT($S$18,$S19),Controles!$B$8:$N$37,8,FALSE)=0,"",VLOOKUP(_xlfn.CONCAT($S$18,$S19),Controles!$B$8:$N$37,8,FALSE)),"")</f>
        <v/>
      </c>
      <c r="W19" s="258" t="str">
        <f>IFERROR(VLOOKUP(IFERROR(IF(VLOOKUP(_xlfn.CONCAT($S$18,$S19),Controles!$B$8:$N$37,8,FALSE)=0,"",VLOOKUP(_xlfn.CONCAT($S$18,$S19),Controles!$B$8:$N$37,8,FALSE)),""),'Tablas de validación'!$B$39:$C$41,2,FALSE)+VLOOKUP(IFERROR(IF(VLOOKUP(_xlfn.CONCAT($S$18,$M19),Controles!$B$8:$N$37,9,FALSE)=0,"",VLOOKUP(_xlfn.CONCAT($S$18,$G19),Controles!$B$8:$N$37,9,FALSE)),""),'Tablas de validación'!$D$39:$E$40,2,FALSE),"")</f>
        <v/>
      </c>
    </row>
    <row r="20" spans="1:23" x14ac:dyDescent="0.3">
      <c r="A20" s="258">
        <v>2</v>
      </c>
      <c r="B20" s="257" t="str">
        <f>IF(OR(D20="Preventivo",D20="detectivo"),B19-(B19*E20),B19)</f>
        <v/>
      </c>
      <c r="C20" s="257" t="str">
        <f t="shared" ref="C20:C27" si="0">IF(D20="Correctivo",C19-(C19*E20),C19)</f>
        <v/>
      </c>
      <c r="D20" s="88" t="str">
        <f>IFERROR(IF(VLOOKUP(_xlfn.CONCAT($A$18,$A20),Controles!$B$8:$N$37,8,FALSE)=0,"",VLOOKUP(_xlfn.CONCAT($A$18,$A20),Controles!$B$8:$N$37,8,FALSE)),"")</f>
        <v/>
      </c>
      <c r="E20" s="258" t="str">
        <f>IFERROR(VLOOKUP(IFERROR(IF(VLOOKUP(_xlfn.CONCAT($A$18,$A20),Controles!$B$8:$N$37,8,FALSE)=0,"",VLOOKUP(_xlfn.CONCAT($A$18,$A20),Controles!$B$8:$N$37,8,FALSE)),""),'Tablas de validación'!$B$39:$C$41,2,FALSE)+VLOOKUP(IFERROR(IF(VLOOKUP(_xlfn.CONCAT($A$18,$A20),Controles!$B$8:$N$37,9,FALSE)=0,"",VLOOKUP(_xlfn.CONCAT($A$18,$A20),Controles!$B$8:$N$37,9,FALSE)),""),'Tablas de validación'!$D$39:$E$40,2,FALSE),"")</f>
        <v/>
      </c>
      <c r="G20" s="258">
        <v>2</v>
      </c>
      <c r="H20" s="257" t="str">
        <f>IF(OR(J20="Preventivo",J20="detectivo"),H19-(H19*K20),H19)</f>
        <v/>
      </c>
      <c r="I20" s="257" t="str">
        <f t="shared" ref="I20:I27" si="1">IF(J20="Correctivo",I19-(I19*K20),I19)</f>
        <v/>
      </c>
      <c r="J20" s="88" t="str">
        <f>IFERROR(IF(VLOOKUP(_xlfn.CONCAT($G$18,$G20),Controles!$B$8:$N$37,8,FALSE)=0,"",VLOOKUP(_xlfn.CONCAT($G$18,$G20),Controles!$B$8:$N$37,8,FALSE)),"")</f>
        <v/>
      </c>
      <c r="K20" s="258" t="str">
        <f>IFERROR(VLOOKUP(IFERROR(IF(VLOOKUP(_xlfn.CONCAT($G$18,$G20),Controles!$B$8:$N$37,8,FALSE)=0,"",VLOOKUP(_xlfn.CONCAT($G$18,$G20),Controles!$B$8:$N$37,8,FALSE)),""),'Tablas de validación'!$B$39:$C$41,2,FALSE)+VLOOKUP(IFERROR(IF(VLOOKUP(_xlfn.CONCAT($G$18,$G20),Controles!$B$8:$N$37,9,FALSE)=0,"",VLOOKUP(_xlfn.CONCAT($G$18,$G20),Controles!$B$8:$N$37,9,FALSE)),""),'Tablas de validación'!$D$39:$E$40,2,FALSE),"")</f>
        <v/>
      </c>
      <c r="M20" s="258">
        <v>2</v>
      </c>
      <c r="N20" s="257" t="str">
        <f>IF(OR(P20="Preventivo",P20="detectivo"),N19-(N19*Q20),N19)</f>
        <v/>
      </c>
      <c r="O20" s="257" t="str">
        <f t="shared" ref="O20:O27" si="2">IF(P20="Correctivo",O19-(O19*Q20),O19)</f>
        <v/>
      </c>
      <c r="P20" s="88" t="str">
        <f>IFERROR(IF(VLOOKUP(_xlfn.CONCAT($M$18,$M20),Controles!$B$8:$N$37,8,FALSE)=0,"",VLOOKUP(_xlfn.CONCAT($M$18,$M20),Controles!$B$8:$N$37,8,FALSE)),"")</f>
        <v/>
      </c>
      <c r="Q20" s="258" t="str">
        <f>IFERROR(VLOOKUP(IFERROR(IF(VLOOKUP(_xlfn.CONCAT($M$18,$M20),Controles!$B$8:$N$37,8,FALSE)=0,"",VLOOKUP(_xlfn.CONCAT($M$18,$M20),Controles!$B$8:$N$37,8,FALSE)),""),'Tablas de validación'!$B$39:$C$41,2,FALSE)+VLOOKUP(IFERROR(IF(VLOOKUP(_xlfn.CONCAT($M$18,$M20),Controles!$B$8:$N$37,9,FALSE)=0,"",VLOOKUP(_xlfn.CONCAT($M$18,$G20),Controles!$B$8:$N$37,9,FALSE)),""),'Tablas de validación'!$D$39:$E$40,2,FALSE),"")</f>
        <v/>
      </c>
      <c r="S20" s="258">
        <v>2</v>
      </c>
      <c r="T20" s="257" t="str">
        <f>IF(OR(V20="Preventivo",V20="detectivo"),T19-(T19*W20),T19)</f>
        <v/>
      </c>
      <c r="U20" s="257" t="str">
        <f t="shared" ref="U20:U27" si="3">IF(V20="Correctivo",U19-(U19*W20),U19)</f>
        <v/>
      </c>
      <c r="V20" s="88" t="str">
        <f>IFERROR(IF(VLOOKUP(_xlfn.CONCAT($S$18,$S20),Controles!$B$8:$N$37,8,FALSE)=0,"",VLOOKUP(_xlfn.CONCAT($S$18,$S20),Controles!$B$8:$N$37,8,FALSE)),"")</f>
        <v/>
      </c>
      <c r="W20" s="258" t="str">
        <f>IFERROR(VLOOKUP(IFERROR(IF(VLOOKUP(_xlfn.CONCAT($S$18,$S20),Controles!$B$8:$N$37,8,FALSE)=0,"",VLOOKUP(_xlfn.CONCAT($S$18,$S20),Controles!$B$8:$N$37,8,FALSE)),""),'Tablas de validación'!$B$39:$C$41,2,FALSE)+VLOOKUP(IFERROR(IF(VLOOKUP(_xlfn.CONCAT($S$18,$M20),Controles!$B$8:$N$37,9,FALSE)=0,"",VLOOKUP(_xlfn.CONCAT($S$18,$G20),Controles!$B$8:$N$37,9,FALSE)),""),'Tablas de validación'!$D$39:$E$40,2,FALSE),"")</f>
        <v/>
      </c>
    </row>
    <row r="21" spans="1:23" x14ac:dyDescent="0.3">
      <c r="A21" s="258">
        <v>3</v>
      </c>
      <c r="B21" s="257" t="str">
        <f>IF(OR(D21="Preventivo",D21="detectivo"),B20-(B20*E21),B20)</f>
        <v/>
      </c>
      <c r="C21" s="257" t="str">
        <f t="shared" si="0"/>
        <v/>
      </c>
      <c r="D21" s="88" t="str">
        <f>IFERROR(IF(VLOOKUP(_xlfn.CONCAT($A$18,$A21),Controles!$B$8:$N$37,8,FALSE)=0,"",VLOOKUP(_xlfn.CONCAT($A$18,$A21),Controles!$B$8:$N$37,8,FALSE)),"")</f>
        <v/>
      </c>
      <c r="E21" s="258" t="str">
        <f>IFERROR(VLOOKUP(IFERROR(IF(VLOOKUP(_xlfn.CONCAT($A$18,$A21),Controles!$B$8:$N$37,8,FALSE)=0,"",VLOOKUP(_xlfn.CONCAT($A$18,$A21),Controles!$B$8:$N$37,8,FALSE)),""),'Tablas de validación'!$B$39:$C$41,2,FALSE)+VLOOKUP(IFERROR(IF(VLOOKUP(_xlfn.CONCAT($A$18,$A21),Controles!$B$8:$N$37,9,FALSE)=0,"",VLOOKUP(_xlfn.CONCAT($A$18,$A21),Controles!$B$8:$N$37,9,FALSE)),""),'Tablas de validación'!$D$39:$E$40,2,FALSE),"")</f>
        <v/>
      </c>
      <c r="G21" s="258">
        <v>3</v>
      </c>
      <c r="H21" s="257" t="str">
        <f>IF(OR(J21="Preventivo",J21="detectivo"),H20-(H20*K21),H20)</f>
        <v/>
      </c>
      <c r="I21" s="257" t="str">
        <f t="shared" si="1"/>
        <v/>
      </c>
      <c r="J21" s="88" t="str">
        <f>IFERROR(IF(VLOOKUP(_xlfn.CONCAT($G$18,$G21),Controles!$B$8:$N$37,8,FALSE)=0,"",VLOOKUP(_xlfn.CONCAT($G$18,$G21),Controles!$B$8:$N$37,8,FALSE)),"")</f>
        <v/>
      </c>
      <c r="K21" s="258" t="str">
        <f>IFERROR(VLOOKUP(IFERROR(IF(VLOOKUP(_xlfn.CONCAT($G$18,$G21),Controles!$B$8:$N$37,8,FALSE)=0,"",VLOOKUP(_xlfn.CONCAT($G$18,$G21),Controles!$B$8:$N$37,8,FALSE)),""),'Tablas de validación'!$B$39:$C$41,2,FALSE)+VLOOKUP(IFERROR(IF(VLOOKUP(_xlfn.CONCAT($G$18,$G21),Controles!$B$8:$N$37,9,FALSE)=0,"",VLOOKUP(_xlfn.CONCAT($G$18,$G21),Controles!$B$8:$N$37,9,FALSE)),""),'Tablas de validación'!$D$39:$E$40,2,FALSE),"")</f>
        <v/>
      </c>
      <c r="M21" s="258">
        <v>3</v>
      </c>
      <c r="N21" s="257" t="str">
        <f>IF(OR(P21="Preventivo",P21="detectivo"),N20-(N20*Q21),N20)</f>
        <v/>
      </c>
      <c r="O21" s="257" t="str">
        <f t="shared" si="2"/>
        <v/>
      </c>
      <c r="P21" s="88" t="str">
        <f>IFERROR(IF(VLOOKUP(_xlfn.CONCAT($M$18,$M21),Controles!$B$8:$N$37,8,FALSE)=0,"",VLOOKUP(_xlfn.CONCAT($M$18,$M21),Controles!$B$8:$N$37,8,FALSE)),"")</f>
        <v/>
      </c>
      <c r="Q21" s="258" t="str">
        <f>IFERROR(VLOOKUP(IFERROR(IF(VLOOKUP(_xlfn.CONCAT($M$18,$M21),Controles!$B$8:$N$37,8,FALSE)=0,"",VLOOKUP(_xlfn.CONCAT($M$18,$M21),Controles!$B$8:$N$37,8,FALSE)),""),'Tablas de validación'!$B$39:$C$41,2,FALSE)+VLOOKUP(IFERROR(IF(VLOOKUP(_xlfn.CONCAT($M$18,$M21),Controles!$B$8:$N$37,9,FALSE)=0,"",VLOOKUP(_xlfn.CONCAT($M$18,$G21),Controles!$B$8:$N$37,9,FALSE)),""),'Tablas de validación'!$D$39:$E$40,2,FALSE),"")</f>
        <v/>
      </c>
      <c r="S21" s="258">
        <v>3</v>
      </c>
      <c r="T21" s="257" t="str">
        <f>IF(OR(V21="Preventivo",V21="detectivo"),T20-(T20*W21),T20)</f>
        <v/>
      </c>
      <c r="U21" s="257" t="str">
        <f>IF(V21="Correctivo",U20-(U20*W21),U20)</f>
        <v/>
      </c>
      <c r="V21" s="88" t="str">
        <f>IFERROR(IF(VLOOKUP(_xlfn.CONCAT($S$18,$S21),Controles!$B$8:$N$37,8,FALSE)=0,"",VLOOKUP(_xlfn.CONCAT($S$18,$S21),Controles!$B$8:$N$37,8,FALSE)),"")</f>
        <v/>
      </c>
      <c r="W21" s="258" t="str">
        <f>IFERROR(VLOOKUP(IFERROR(IF(VLOOKUP(_xlfn.CONCAT($S$18,$S21),Controles!$B$8:$N$37,8,FALSE)=0,"",VLOOKUP(_xlfn.CONCAT($S$18,$S21),Controles!$B$8:$N$37,8,FALSE)),""),'Tablas de validación'!$B$39:$C$41,2,FALSE)+VLOOKUP(IFERROR(IF(VLOOKUP(_xlfn.CONCAT($S$18,$M21),Controles!$B$8:$N$37,9,FALSE)=0,"",VLOOKUP(_xlfn.CONCAT($S$18,$G21),Controles!$B$8:$N$37,9,FALSE)),""),'Tablas de validación'!$D$39:$E$40,2,FALSE),"")</f>
        <v/>
      </c>
    </row>
    <row r="22" spans="1:23" x14ac:dyDescent="0.3">
      <c r="A22" s="258">
        <v>4</v>
      </c>
      <c r="B22" s="257" t="str">
        <f t="shared" ref="B22:B27" si="4">IF(OR(D22="Preventivo",D22="detectivo"),B21-(B21*E22),B21)</f>
        <v/>
      </c>
      <c r="C22" s="257" t="str">
        <f t="shared" si="0"/>
        <v/>
      </c>
      <c r="D22" s="88" t="str">
        <f>IFERROR(IF(VLOOKUP(_xlfn.CONCAT($A$18,$A22),Controles!$B$8:$N$37,8,FALSE)=0,"",VLOOKUP(_xlfn.CONCAT($A$18,$A22),Controles!$B$8:$N$37,8,FALSE)),"")</f>
        <v/>
      </c>
      <c r="E22" s="258" t="str">
        <f>IFERROR(VLOOKUP(IFERROR(IF(VLOOKUP(_xlfn.CONCAT($A$18,$A22),Controles!$B$8:$N$37,8,FALSE)=0,"",VLOOKUP(_xlfn.CONCAT($A$18,$A22),Controles!$B$8:$N$37,8,FALSE)),""),'Tablas de validación'!$B$39:$C$41,2,FALSE)+VLOOKUP(IFERROR(IF(VLOOKUP(_xlfn.CONCAT($A$18,$A22),Controles!$B$8:$N$37,9,FALSE)=0,"",VLOOKUP(_xlfn.CONCAT($A$18,$A22),Controles!$B$8:$N$37,9,FALSE)),""),'Tablas de validación'!$D$39:$E$40,2,FALSE),"")</f>
        <v/>
      </c>
      <c r="G22" s="258">
        <v>4</v>
      </c>
      <c r="H22" s="257" t="str">
        <f t="shared" ref="H22:H27" si="5">IF(OR(J22="Preventivo",J22="detectivo"),H21-(H21*K22),H21)</f>
        <v/>
      </c>
      <c r="I22" s="257" t="str">
        <f t="shared" si="1"/>
        <v/>
      </c>
      <c r="J22" s="88" t="str">
        <f>IFERROR(IF(VLOOKUP(_xlfn.CONCAT($G$18,$G22),Controles!$B$8:$N$37,8,FALSE)=0,"",VLOOKUP(_xlfn.CONCAT($G$18,$G22),Controles!$B$8:$N$37,8,FALSE)),"")</f>
        <v/>
      </c>
      <c r="K22" s="258" t="str">
        <f>IFERROR(VLOOKUP(IFERROR(IF(VLOOKUP(_xlfn.CONCAT($G$18,$G22),Controles!$B$8:$N$37,8,FALSE)=0,"",VLOOKUP(_xlfn.CONCAT($G$18,$G22),Controles!$B$8:$N$37,8,FALSE)),""),'Tablas de validación'!$B$39:$C$41,2,FALSE)+VLOOKUP(IFERROR(IF(VLOOKUP(_xlfn.CONCAT($G$18,$G22),Controles!$B$8:$N$37,9,FALSE)=0,"",VLOOKUP(_xlfn.CONCAT($G$18,$G22),Controles!$B$8:$N$37,9,FALSE)),""),'Tablas de validación'!$D$39:$E$40,2,FALSE),"")</f>
        <v/>
      </c>
      <c r="M22" s="258">
        <v>4</v>
      </c>
      <c r="N22" s="257" t="str">
        <f t="shared" ref="N22:N27" si="6">IF(OR(P22="Preventivo",P22="detectivo"),N21-(N21*Q22),N21)</f>
        <v/>
      </c>
      <c r="O22" s="257" t="str">
        <f t="shared" si="2"/>
        <v/>
      </c>
      <c r="P22" s="88" t="str">
        <f>IFERROR(IF(VLOOKUP(_xlfn.CONCAT($M$18,$M22),Controles!$B$8:$N$37,8,FALSE)=0,"",VLOOKUP(_xlfn.CONCAT($M$18,$M22),Controles!$B$8:$N$37,8,FALSE)),"")</f>
        <v/>
      </c>
      <c r="Q22" s="258" t="str">
        <f>IFERROR(VLOOKUP(IFERROR(IF(VLOOKUP(_xlfn.CONCAT($M$18,$M22),Controles!$B$8:$N$37,8,FALSE)=0,"",VLOOKUP(_xlfn.CONCAT($M$18,$M22),Controles!$B$8:$N$37,8,FALSE)),""),'Tablas de validación'!$B$39:$C$41,2,FALSE)+VLOOKUP(IFERROR(IF(VLOOKUP(_xlfn.CONCAT($M$18,$M22),Controles!$B$8:$N$37,9,FALSE)=0,"",VLOOKUP(_xlfn.CONCAT($M$18,$G22),Controles!$B$8:$N$37,9,FALSE)),""),'Tablas de validación'!$D$39:$E$40,2,FALSE),"")</f>
        <v/>
      </c>
      <c r="S22" s="258">
        <v>4</v>
      </c>
      <c r="T22" s="257" t="str">
        <f t="shared" ref="T22:T27" si="7">IF(OR(V22="Preventivo",V22="detectivo"),T21-(T21*W22),T21)</f>
        <v/>
      </c>
      <c r="U22" s="257" t="str">
        <f t="shared" si="3"/>
        <v/>
      </c>
      <c r="V22" s="88" t="str">
        <f>IFERROR(IF(VLOOKUP(_xlfn.CONCAT($S$18,$S22),Controles!$B$8:$N$37,8,FALSE)=0,"",VLOOKUP(_xlfn.CONCAT($S$18,$S22),Controles!$B$8:$N$37,8,FALSE)),"")</f>
        <v/>
      </c>
      <c r="W22" s="258" t="str">
        <f>IFERROR(VLOOKUP(IFERROR(IF(VLOOKUP(_xlfn.CONCAT($S$18,$S22),Controles!$B$8:$N$37,8,FALSE)=0,"",VLOOKUP(_xlfn.CONCAT($S$18,$S22),Controles!$B$8:$N$37,8,FALSE)),""),'Tablas de validación'!$B$39:$C$41,2,FALSE)+VLOOKUP(IFERROR(IF(VLOOKUP(_xlfn.CONCAT($S$18,$M22),Controles!$B$8:$N$37,9,FALSE)=0,"",VLOOKUP(_xlfn.CONCAT($S$18,$G22),Controles!$B$8:$N$37,9,FALSE)),""),'Tablas de validación'!$D$39:$E$40,2,FALSE),"")</f>
        <v/>
      </c>
    </row>
    <row r="23" spans="1:23" x14ac:dyDescent="0.3">
      <c r="A23" s="258">
        <v>5</v>
      </c>
      <c r="B23" s="257" t="str">
        <f t="shared" si="4"/>
        <v/>
      </c>
      <c r="C23" s="257" t="str">
        <f t="shared" si="0"/>
        <v/>
      </c>
      <c r="D23" s="88" t="str">
        <f>IFERROR(IF(VLOOKUP(_xlfn.CONCAT($A$18,$A23),Controles!$B$8:$N$37,8,FALSE)=0,"",VLOOKUP(_xlfn.CONCAT($A$18,$A23),Controles!$B$8:$N$37,8,FALSE)),"")</f>
        <v/>
      </c>
      <c r="E23" s="258" t="str">
        <f>IFERROR(VLOOKUP(IFERROR(IF(VLOOKUP(_xlfn.CONCAT($A$18,$A23),Controles!$B$8:$N$37,8,FALSE)=0,"",VLOOKUP(_xlfn.CONCAT($A$18,$A23),Controles!$B$8:$N$37,8,FALSE)),""),'Tablas de validación'!$B$39:$C$41,2,FALSE)+VLOOKUP(IFERROR(IF(VLOOKUP(_xlfn.CONCAT($A$18,$A23),Controles!$B$8:$N$37,9,FALSE)=0,"",VLOOKUP(_xlfn.CONCAT($A$18,$A23),Controles!$B$8:$N$37,9,FALSE)),""),'Tablas de validación'!$D$39:$E$40,2,FALSE),"")</f>
        <v/>
      </c>
      <c r="G23" s="258">
        <v>5</v>
      </c>
      <c r="H23" s="257" t="str">
        <f t="shared" si="5"/>
        <v/>
      </c>
      <c r="I23" s="257" t="str">
        <f t="shared" si="1"/>
        <v/>
      </c>
      <c r="J23" s="88" t="str">
        <f>IFERROR(IF(VLOOKUP(_xlfn.CONCAT($G$18,$G23),Controles!$B$8:$N$37,8,FALSE)=0,"",VLOOKUP(_xlfn.CONCAT($G$18,$G23),Controles!$B$8:$N$37,8,FALSE)),"")</f>
        <v/>
      </c>
      <c r="K23" s="258" t="str">
        <f>IFERROR(VLOOKUP(IFERROR(IF(VLOOKUP(_xlfn.CONCAT($G$18,$G23),Controles!$B$8:$N$37,8,FALSE)=0,"",VLOOKUP(_xlfn.CONCAT($G$18,$G23),Controles!$B$8:$N$37,8,FALSE)),""),'Tablas de validación'!$B$39:$C$41,2,FALSE)+VLOOKUP(IFERROR(IF(VLOOKUP(_xlfn.CONCAT($G$18,$G23),Controles!$B$8:$N$37,9,FALSE)=0,"",VLOOKUP(_xlfn.CONCAT($G$18,$G23),Controles!$B$8:$N$37,9,FALSE)),""),'Tablas de validación'!$D$39:$E$40,2,FALSE),"")</f>
        <v/>
      </c>
      <c r="M23" s="258">
        <v>5</v>
      </c>
      <c r="N23" s="257" t="str">
        <f t="shared" si="6"/>
        <v/>
      </c>
      <c r="O23" s="257" t="str">
        <f t="shared" si="2"/>
        <v/>
      </c>
      <c r="P23" s="88" t="str">
        <f>IFERROR(IF(VLOOKUP(_xlfn.CONCAT($M$18,$M23),Controles!$B$8:$N$37,8,FALSE)=0,"",VLOOKUP(_xlfn.CONCAT($M$18,$M23),Controles!$B$8:$N$37,8,FALSE)),"")</f>
        <v/>
      </c>
      <c r="Q23" s="258" t="str">
        <f>IFERROR(VLOOKUP(IFERROR(IF(VLOOKUP(_xlfn.CONCAT($M$18,$M23),Controles!$B$8:$N$37,8,FALSE)=0,"",VLOOKUP(_xlfn.CONCAT($M$18,$M23),Controles!$B$8:$N$37,8,FALSE)),""),'Tablas de validación'!$B$39:$C$41,2,FALSE)+VLOOKUP(IFERROR(IF(VLOOKUP(_xlfn.CONCAT($M$18,$M23),Controles!$B$8:$N$37,9,FALSE)=0,"",VLOOKUP(_xlfn.CONCAT($M$18,$G23),Controles!$B$8:$N$37,9,FALSE)),""),'Tablas de validación'!$D$39:$E$40,2,FALSE),"")</f>
        <v/>
      </c>
      <c r="S23" s="258">
        <v>5</v>
      </c>
      <c r="T23" s="257" t="str">
        <f t="shared" si="7"/>
        <v/>
      </c>
      <c r="U23" s="257" t="str">
        <f t="shared" si="3"/>
        <v/>
      </c>
      <c r="V23" s="88" t="str">
        <f>IFERROR(IF(VLOOKUP(_xlfn.CONCAT($S$18,$S23),Controles!$B$8:$N$37,8,FALSE)=0,"",VLOOKUP(_xlfn.CONCAT($S$18,$S23),Controles!$B$8:$N$37,8,FALSE)),"")</f>
        <v/>
      </c>
      <c r="W23" s="258" t="str">
        <f>IFERROR(VLOOKUP(IFERROR(IF(VLOOKUP(_xlfn.CONCAT($S$18,$S23),Controles!$B$8:$N$37,8,FALSE)=0,"",VLOOKUP(_xlfn.CONCAT($S$18,$S23),Controles!$B$8:$N$37,8,FALSE)),""),'Tablas de validación'!$B$39:$C$41,2,FALSE)+VLOOKUP(IFERROR(IF(VLOOKUP(_xlfn.CONCAT($S$18,$M23),Controles!$B$8:$N$37,9,FALSE)=0,"",VLOOKUP(_xlfn.CONCAT($S$18,$G23),Controles!$B$8:$N$37,9,FALSE)),""),'Tablas de validación'!$D$39:$E$40,2,FALSE),"")</f>
        <v/>
      </c>
    </row>
    <row r="24" spans="1:23" x14ac:dyDescent="0.3">
      <c r="A24" s="258">
        <v>6</v>
      </c>
      <c r="B24" s="257" t="str">
        <f t="shared" si="4"/>
        <v/>
      </c>
      <c r="C24" s="257" t="str">
        <f t="shared" si="0"/>
        <v/>
      </c>
      <c r="D24" s="88" t="str">
        <f>IFERROR(IF(VLOOKUP(_xlfn.CONCAT($A$18,$A24),Controles!$B$8:$N$37,8,FALSE)=0,"",VLOOKUP(_xlfn.CONCAT($A$18,$A24),Controles!$B$8:$N$37,8,FALSE)),"")</f>
        <v/>
      </c>
      <c r="E24" s="258" t="str">
        <f>IFERROR(VLOOKUP(IFERROR(IF(VLOOKUP(_xlfn.CONCAT($A$18,$A24),Controles!$B$8:$N$37,8,FALSE)=0,"",VLOOKUP(_xlfn.CONCAT($A$18,$A24),Controles!$B$8:$N$37,8,FALSE)),""),'Tablas de validación'!$B$39:$C$41,2,FALSE)+VLOOKUP(IFERROR(IF(VLOOKUP(_xlfn.CONCAT($A$18,$A24),Controles!$B$8:$N$37,9,FALSE)=0,"",VLOOKUP(_xlfn.CONCAT($A$18,$A24),Controles!$B$8:$N$37,9,FALSE)),""),'Tablas de validación'!$D$39:$E$40,2,FALSE),"")</f>
        <v/>
      </c>
      <c r="G24" s="258">
        <v>6</v>
      </c>
      <c r="H24" s="257" t="str">
        <f t="shared" si="5"/>
        <v/>
      </c>
      <c r="I24" s="257" t="str">
        <f t="shared" si="1"/>
        <v/>
      </c>
      <c r="J24" s="88" t="str">
        <f>IFERROR(IF(VLOOKUP(_xlfn.CONCAT($G$18,$G24),Controles!$B$8:$N$37,8,FALSE)=0,"",VLOOKUP(_xlfn.CONCAT($G$18,$G24),Controles!$B$8:$N$37,8,FALSE)),"")</f>
        <v/>
      </c>
      <c r="K24" s="258" t="str">
        <f>IFERROR(VLOOKUP(IFERROR(IF(VLOOKUP(_xlfn.CONCAT($G$18,$G24),Controles!$B$8:$N$37,8,FALSE)=0,"",VLOOKUP(_xlfn.CONCAT($G$18,$G24),Controles!$B$8:$N$37,8,FALSE)),""),'Tablas de validación'!$B$39:$C$41,2,FALSE)+VLOOKUP(IFERROR(IF(VLOOKUP(_xlfn.CONCAT($G$18,$G24),Controles!$B$8:$N$37,9,FALSE)=0,"",VLOOKUP(_xlfn.CONCAT($G$18,$G24),Controles!$B$8:$N$37,9,FALSE)),""),'Tablas de validación'!$D$39:$E$40,2,FALSE),"")</f>
        <v/>
      </c>
      <c r="M24" s="258">
        <v>6</v>
      </c>
      <c r="N24" s="257" t="str">
        <f t="shared" si="6"/>
        <v/>
      </c>
      <c r="O24" s="257" t="str">
        <f t="shared" si="2"/>
        <v/>
      </c>
      <c r="P24" s="88" t="str">
        <f>IFERROR(IF(VLOOKUP(_xlfn.CONCAT($M$18,$M24),Controles!$B$8:$N$37,8,FALSE)=0,"",VLOOKUP(_xlfn.CONCAT($M$18,$M24),Controles!$B$8:$N$37,8,FALSE)),"")</f>
        <v/>
      </c>
      <c r="Q24" s="258" t="str">
        <f>IFERROR(VLOOKUP(IFERROR(IF(VLOOKUP(_xlfn.CONCAT($M$18,$M24),Controles!$B$8:$N$37,8,FALSE)=0,"",VLOOKUP(_xlfn.CONCAT($M$18,$M24),Controles!$B$8:$N$37,8,FALSE)),""),'Tablas de validación'!$B$39:$C$41,2,FALSE)+VLOOKUP(IFERROR(IF(VLOOKUP(_xlfn.CONCAT($M$18,$M24),Controles!$B$8:$N$37,9,FALSE)=0,"",VLOOKUP(_xlfn.CONCAT($M$18,$G24),Controles!$B$8:$N$37,9,FALSE)),""),'Tablas de validación'!$D$39:$E$40,2,FALSE),"")</f>
        <v/>
      </c>
      <c r="S24" s="258">
        <v>6</v>
      </c>
      <c r="T24" s="257" t="str">
        <f t="shared" si="7"/>
        <v/>
      </c>
      <c r="U24" s="257" t="str">
        <f t="shared" si="3"/>
        <v/>
      </c>
      <c r="V24" s="88" t="str">
        <f>IFERROR(IF(VLOOKUP(_xlfn.CONCAT($S$18,$S24),Controles!$B$8:$N$37,8,FALSE)=0,"",VLOOKUP(_xlfn.CONCAT($S$18,$S24),Controles!$B$8:$N$37,8,FALSE)),"")</f>
        <v/>
      </c>
      <c r="W24" s="258" t="str">
        <f>IFERROR(VLOOKUP(IFERROR(IF(VLOOKUP(_xlfn.CONCAT($S$18,$S24),Controles!$B$8:$N$37,8,FALSE)=0,"",VLOOKUP(_xlfn.CONCAT($S$18,$S24),Controles!$B$8:$N$37,8,FALSE)),""),'Tablas de validación'!$B$39:$C$41,2,FALSE)+VLOOKUP(IFERROR(IF(VLOOKUP(_xlfn.CONCAT($S$18,$M24),Controles!$B$8:$N$37,9,FALSE)=0,"",VLOOKUP(_xlfn.CONCAT($S$18,$G24),Controles!$B$8:$N$37,9,FALSE)),""),'Tablas de validación'!$D$39:$E$40,2,FALSE),"")</f>
        <v/>
      </c>
    </row>
    <row r="25" spans="1:23" x14ac:dyDescent="0.3">
      <c r="A25" s="258">
        <v>7</v>
      </c>
      <c r="B25" s="257" t="str">
        <f t="shared" si="4"/>
        <v/>
      </c>
      <c r="C25" s="257" t="str">
        <f t="shared" si="0"/>
        <v/>
      </c>
      <c r="D25" s="88" t="str">
        <f>IFERROR(IF(VLOOKUP(_xlfn.CONCAT($A$18,$A25),Controles!$B$8:$N$37,8,FALSE)=0,"",VLOOKUP(_xlfn.CONCAT($A$18,$A25),Controles!$B$8:$N$37,8,FALSE)),"")</f>
        <v/>
      </c>
      <c r="E25" s="258" t="str">
        <f>IFERROR(VLOOKUP(IFERROR(IF(VLOOKUP(_xlfn.CONCAT($A$18,$A25),Controles!$B$8:$N$37,8,FALSE)=0,"",VLOOKUP(_xlfn.CONCAT($A$18,$A25),Controles!$B$8:$N$37,8,FALSE)),""),'Tablas de validación'!$B$39:$C$41,2,FALSE)+VLOOKUP(IFERROR(IF(VLOOKUP(_xlfn.CONCAT($A$18,$A25),Controles!$B$8:$N$37,9,FALSE)=0,"",VLOOKUP(_xlfn.CONCAT($A$18,$A25),Controles!$B$8:$N$37,9,FALSE)),""),'Tablas de validación'!$D$39:$E$40,2,FALSE),"")</f>
        <v/>
      </c>
      <c r="G25" s="258">
        <v>7</v>
      </c>
      <c r="H25" s="257" t="str">
        <f t="shared" si="5"/>
        <v/>
      </c>
      <c r="I25" s="257" t="str">
        <f t="shared" si="1"/>
        <v/>
      </c>
      <c r="J25" s="88" t="str">
        <f>IFERROR(IF(VLOOKUP(_xlfn.CONCAT($G$18,$G25),Controles!$B$8:$N$37,8,FALSE)=0,"",VLOOKUP(_xlfn.CONCAT($G$18,$G25),Controles!$B$8:$N$37,8,FALSE)),"")</f>
        <v/>
      </c>
      <c r="K25" s="258" t="str">
        <f>IFERROR(VLOOKUP(IFERROR(IF(VLOOKUP(_xlfn.CONCAT($G$18,$G25),Controles!$B$8:$N$37,8,FALSE)=0,"",VLOOKUP(_xlfn.CONCAT($G$18,$G25),Controles!$B$8:$N$37,8,FALSE)),""),'Tablas de validación'!$B$39:$C$41,2,FALSE)+VLOOKUP(IFERROR(IF(VLOOKUP(_xlfn.CONCAT($G$18,$G25),Controles!$B$8:$N$37,9,FALSE)=0,"",VLOOKUP(_xlfn.CONCAT($G$18,$G25),Controles!$B$8:$N$37,9,FALSE)),""),'Tablas de validación'!$D$39:$E$40,2,FALSE),"")</f>
        <v/>
      </c>
      <c r="M25" s="258">
        <v>7</v>
      </c>
      <c r="N25" s="257" t="str">
        <f t="shared" si="6"/>
        <v/>
      </c>
      <c r="O25" s="257" t="str">
        <f t="shared" si="2"/>
        <v/>
      </c>
      <c r="P25" s="88" t="str">
        <f>IFERROR(IF(VLOOKUP(_xlfn.CONCAT($M$18,$M25),Controles!$B$8:$N$37,8,FALSE)=0,"",VLOOKUP(_xlfn.CONCAT($M$18,$M25),Controles!$B$8:$N$37,8,FALSE)),"")</f>
        <v/>
      </c>
      <c r="Q25" s="258" t="str">
        <f>IFERROR(VLOOKUP(IFERROR(IF(VLOOKUP(_xlfn.CONCAT($M$18,$M25),Controles!$B$8:$N$37,8,FALSE)=0,"",VLOOKUP(_xlfn.CONCAT($M$18,$M25),Controles!$B$8:$N$37,8,FALSE)),""),'Tablas de validación'!$B$39:$C$41,2,FALSE)+VLOOKUP(IFERROR(IF(VLOOKUP(_xlfn.CONCAT($M$18,$M25),Controles!$B$8:$N$37,9,FALSE)=0,"",VLOOKUP(_xlfn.CONCAT($M$18,$G25),Controles!$B$8:$N$37,9,FALSE)),""),'Tablas de validación'!$D$39:$E$40,2,FALSE),"")</f>
        <v/>
      </c>
      <c r="S25" s="258">
        <v>7</v>
      </c>
      <c r="T25" s="257" t="str">
        <f t="shared" si="7"/>
        <v/>
      </c>
      <c r="U25" s="257" t="str">
        <f t="shared" si="3"/>
        <v/>
      </c>
      <c r="V25" s="88" t="str">
        <f>IFERROR(IF(VLOOKUP(_xlfn.CONCAT($S$18,$S25),Controles!$B$8:$N$37,8,FALSE)=0,"",VLOOKUP(_xlfn.CONCAT($S$18,$S25),Controles!$B$8:$N$37,8,FALSE)),"")</f>
        <v/>
      </c>
      <c r="W25" s="258" t="str">
        <f>IFERROR(VLOOKUP(IFERROR(IF(VLOOKUP(_xlfn.CONCAT($S$18,$S25),Controles!$B$8:$N$37,8,FALSE)=0,"",VLOOKUP(_xlfn.CONCAT($S$18,$S25),Controles!$B$8:$N$37,8,FALSE)),""),'Tablas de validación'!$B$39:$C$41,2,FALSE)+VLOOKUP(IFERROR(IF(VLOOKUP(_xlfn.CONCAT($S$18,$M25),Controles!$B$8:$N$37,9,FALSE)=0,"",VLOOKUP(_xlfn.CONCAT($S$18,$G25),Controles!$B$8:$N$37,9,FALSE)),""),'Tablas de validación'!$D$39:$E$40,2,FALSE),"")</f>
        <v/>
      </c>
    </row>
    <row r="26" spans="1:23" x14ac:dyDescent="0.3">
      <c r="A26" s="258">
        <v>8</v>
      </c>
      <c r="B26" s="257" t="str">
        <f t="shared" si="4"/>
        <v/>
      </c>
      <c r="C26" s="257" t="str">
        <f t="shared" si="0"/>
        <v/>
      </c>
      <c r="D26" s="88" t="str">
        <f>IFERROR(IF(VLOOKUP(_xlfn.CONCAT($A$18,$A26),Controles!$B$8:$N$37,8,FALSE)=0,"",VLOOKUP(_xlfn.CONCAT($A$18,$A26),Controles!$B$8:$N$37,8,FALSE)),"")</f>
        <v/>
      </c>
      <c r="E26" s="258" t="str">
        <f>IFERROR(VLOOKUP(IFERROR(IF(VLOOKUP(_xlfn.CONCAT($A$18,$A26),Controles!$B$8:$N$37,8,FALSE)=0,"",VLOOKUP(_xlfn.CONCAT($A$18,$A26),Controles!$B$8:$N$37,8,FALSE)),""),'Tablas de validación'!$B$39:$C$41,2,FALSE)+VLOOKUP(IFERROR(IF(VLOOKUP(_xlfn.CONCAT($A$18,$A26),Controles!$B$8:$N$37,9,FALSE)=0,"",VLOOKUP(_xlfn.CONCAT($A$18,$A26),Controles!$B$8:$N$37,9,FALSE)),""),'Tablas de validación'!$D$39:$E$40,2,FALSE),"")</f>
        <v/>
      </c>
      <c r="G26" s="258">
        <v>8</v>
      </c>
      <c r="H26" s="257" t="str">
        <f t="shared" si="5"/>
        <v/>
      </c>
      <c r="I26" s="257" t="str">
        <f t="shared" si="1"/>
        <v/>
      </c>
      <c r="J26" s="88" t="str">
        <f>IFERROR(IF(VLOOKUP(_xlfn.CONCAT($G$18,$G26),Controles!$B$8:$N$37,8,FALSE)=0,"",VLOOKUP(_xlfn.CONCAT($G$18,$G26),Controles!$B$8:$N$37,8,FALSE)),"")</f>
        <v/>
      </c>
      <c r="K26" s="258" t="str">
        <f>IFERROR(VLOOKUP(IFERROR(IF(VLOOKUP(_xlfn.CONCAT($G$18,$G26),Controles!$B$8:$N$37,8,FALSE)=0,"",VLOOKUP(_xlfn.CONCAT($G$18,$G26),Controles!$B$8:$N$37,8,FALSE)),""),'Tablas de validación'!$B$39:$C$41,2,FALSE)+VLOOKUP(IFERROR(IF(VLOOKUP(_xlfn.CONCAT($G$18,$G26),Controles!$B$8:$N$37,9,FALSE)=0,"",VLOOKUP(_xlfn.CONCAT($G$18,$G26),Controles!$B$8:$N$37,9,FALSE)),""),'Tablas de validación'!$D$39:$E$40,2,FALSE),"")</f>
        <v/>
      </c>
      <c r="M26" s="258">
        <v>8</v>
      </c>
      <c r="N26" s="257" t="str">
        <f t="shared" si="6"/>
        <v/>
      </c>
      <c r="O26" s="257" t="str">
        <f t="shared" si="2"/>
        <v/>
      </c>
      <c r="P26" s="88" t="str">
        <f>IFERROR(IF(VLOOKUP(_xlfn.CONCAT($M$18,$M26),Controles!$B$8:$N$37,8,FALSE)=0,"",VLOOKUP(_xlfn.CONCAT($M$18,$M26),Controles!$B$8:$N$37,8,FALSE)),"")</f>
        <v/>
      </c>
      <c r="Q26" s="258" t="str">
        <f>IFERROR(VLOOKUP(IFERROR(IF(VLOOKUP(_xlfn.CONCAT($M$18,$M26),Controles!$B$8:$N$37,8,FALSE)=0,"",VLOOKUP(_xlfn.CONCAT($M$18,$M26),Controles!$B$8:$N$37,8,FALSE)),""),'Tablas de validación'!$B$39:$C$41,2,FALSE)+VLOOKUP(IFERROR(IF(VLOOKUP(_xlfn.CONCAT($M$18,$M26),Controles!$B$8:$N$37,9,FALSE)=0,"",VLOOKUP(_xlfn.CONCAT($M$18,$G26),Controles!$B$8:$N$37,9,FALSE)),""),'Tablas de validación'!$D$39:$E$40,2,FALSE),"")</f>
        <v/>
      </c>
      <c r="S26" s="258">
        <v>8</v>
      </c>
      <c r="T26" s="257" t="str">
        <f t="shared" si="7"/>
        <v/>
      </c>
      <c r="U26" s="257" t="str">
        <f t="shared" si="3"/>
        <v/>
      </c>
      <c r="V26" s="88" t="str">
        <f>IFERROR(IF(VLOOKUP(_xlfn.CONCAT($S$18,$S26),Controles!$B$8:$N$37,8,FALSE)=0,"",VLOOKUP(_xlfn.CONCAT($S$18,$S26),Controles!$B$8:$N$37,8,FALSE)),"")</f>
        <v/>
      </c>
      <c r="W26" s="258" t="str">
        <f>IFERROR(VLOOKUP(IFERROR(IF(VLOOKUP(_xlfn.CONCAT($S$18,$S26),Controles!$B$8:$N$37,8,FALSE)=0,"",VLOOKUP(_xlfn.CONCAT($S$18,$S26),Controles!$B$8:$N$37,8,FALSE)),""),'Tablas de validación'!$B$39:$C$41,2,FALSE)+VLOOKUP(IFERROR(IF(VLOOKUP(_xlfn.CONCAT($S$18,$M26),Controles!$B$8:$N$37,9,FALSE)=0,"",VLOOKUP(_xlfn.CONCAT($S$18,$G26),Controles!$B$8:$N$37,9,FALSE)),""),'Tablas de validación'!$D$39:$E$40,2,FALSE),"")</f>
        <v/>
      </c>
    </row>
    <row r="27" spans="1:23" x14ac:dyDescent="0.3">
      <c r="A27" s="258">
        <v>9</v>
      </c>
      <c r="B27" s="257" t="str">
        <f t="shared" si="4"/>
        <v/>
      </c>
      <c r="C27" s="257" t="str">
        <f t="shared" si="0"/>
        <v/>
      </c>
      <c r="D27" s="88" t="str">
        <f>IFERROR(IF(VLOOKUP(_xlfn.CONCAT($A$18,$A27),Controles!$B$8:$N$37,8,FALSE)=0,"",VLOOKUP(_xlfn.CONCAT($A$18,$A27),Controles!$B$8:$N$37,8,FALSE)),"")</f>
        <v/>
      </c>
      <c r="E27" s="258" t="str">
        <f>IFERROR(VLOOKUP(IFERROR(IF(VLOOKUP(_xlfn.CONCAT($A$18,$A27),Controles!$B$8:$N$37,8,FALSE)=0,"",VLOOKUP(_xlfn.CONCAT($A$18,$A27),Controles!$B$8:$N$37,8,FALSE)),""),'Tablas de validación'!$B$39:$C$41,2,FALSE)+VLOOKUP(IFERROR(IF(VLOOKUP(_xlfn.CONCAT($A$18,$A27),Controles!$B$8:$N$37,9,FALSE)=0,"",VLOOKUP(_xlfn.CONCAT($A$18,$A27),Controles!$B$8:$N$37,9,FALSE)),""),'Tablas de validación'!$D$39:$E$40,2,FALSE),"")</f>
        <v/>
      </c>
      <c r="G27" s="258">
        <v>9</v>
      </c>
      <c r="H27" s="257" t="str">
        <f t="shared" si="5"/>
        <v/>
      </c>
      <c r="I27" s="257" t="str">
        <f t="shared" si="1"/>
        <v/>
      </c>
      <c r="J27" s="88" t="str">
        <f>IFERROR(IF(VLOOKUP(_xlfn.CONCAT($G$18,$G27),Controles!$B$8:$N$37,8,FALSE)=0,"",VLOOKUP(_xlfn.CONCAT($G$18,$G27),Controles!$B$8:$N$37,8,FALSE)),"")</f>
        <v/>
      </c>
      <c r="K27" s="258" t="str">
        <f>IFERROR(VLOOKUP(IFERROR(IF(VLOOKUP(_xlfn.CONCAT($G$18,$G27),Controles!$B$8:$N$37,8,FALSE)=0,"",VLOOKUP(_xlfn.CONCAT($G$18,$G27),Controles!$B$8:$N$37,8,FALSE)),""),'Tablas de validación'!$B$39:$C$41,2,FALSE)+VLOOKUP(IFERROR(IF(VLOOKUP(_xlfn.CONCAT($G$18,$G27),Controles!$B$8:$N$37,9,FALSE)=0,"",VLOOKUP(_xlfn.CONCAT($G$18,$G27),Controles!$B$8:$N$37,9,FALSE)),""),'Tablas de validación'!$D$39:$E$40,2,FALSE),"")</f>
        <v/>
      </c>
      <c r="M27" s="258">
        <v>9</v>
      </c>
      <c r="N27" s="257" t="str">
        <f t="shared" si="6"/>
        <v/>
      </c>
      <c r="O27" s="257" t="str">
        <f t="shared" si="2"/>
        <v/>
      </c>
      <c r="P27" s="88" t="str">
        <f>IFERROR(IF(VLOOKUP(_xlfn.CONCAT($M$18,$M27),Controles!$B$8:$N$37,8,FALSE)=0,"",VLOOKUP(_xlfn.CONCAT($M$18,$M27),Controles!$B$8:$N$37,8,FALSE)),"")</f>
        <v/>
      </c>
      <c r="Q27" s="258" t="str">
        <f>IFERROR(VLOOKUP(IFERROR(IF(VLOOKUP(_xlfn.CONCAT($M$18,$M27),Controles!$B$8:$N$37,8,FALSE)=0,"",VLOOKUP(_xlfn.CONCAT($M$18,$M27),Controles!$B$8:$N$37,8,FALSE)),""),'Tablas de validación'!$B$39:$C$41,2,FALSE)+VLOOKUP(IFERROR(IF(VLOOKUP(_xlfn.CONCAT($M$18,$M27),Controles!$B$8:$N$37,9,FALSE)=0,"",VLOOKUP(_xlfn.CONCAT($M$18,$G27),Controles!$B$8:$N$37,9,FALSE)),""),'Tablas de validación'!$D$39:$E$40,2,FALSE),"")</f>
        <v/>
      </c>
      <c r="S27" s="258">
        <v>9</v>
      </c>
      <c r="T27" s="257" t="str">
        <f t="shared" si="7"/>
        <v/>
      </c>
      <c r="U27" s="257" t="str">
        <f t="shared" si="3"/>
        <v/>
      </c>
      <c r="V27" s="88" t="str">
        <f>IFERROR(IF(VLOOKUP(_xlfn.CONCAT($S$18,$S27),Controles!$B$8:$N$37,8,FALSE)=0,"",VLOOKUP(_xlfn.CONCAT($S$18,$S27),Controles!$B$8:$N$37,8,FALSE)),"")</f>
        <v/>
      </c>
      <c r="W27" s="258" t="str">
        <f>IFERROR(VLOOKUP(IFERROR(IF(VLOOKUP(_xlfn.CONCAT($S$18,$S27),Controles!$B$8:$N$37,8,FALSE)=0,"",VLOOKUP(_xlfn.CONCAT($S$18,$S27),Controles!$B$8:$N$37,8,FALSE)),""),'Tablas de validación'!$B$39:$C$41,2,FALSE)+VLOOKUP(IFERROR(IF(VLOOKUP(_xlfn.CONCAT($S$18,$M27),Controles!$B$8:$N$37,9,FALSE)=0,"",VLOOKUP(_xlfn.CONCAT($S$18,$G27),Controles!$B$8:$N$37,9,FALSE)),""),'Tablas de validación'!$D$39:$E$40,2,FALSE),"")</f>
        <v/>
      </c>
    </row>
    <row r="28" spans="1:23" x14ac:dyDescent="0.3">
      <c r="A28" s="258">
        <v>10</v>
      </c>
      <c r="B28" s="257" t="str">
        <f>IF(OR(D28="Preventivo",D28="detectivo"),B27-(B27*E28),B27)</f>
        <v/>
      </c>
      <c r="C28" s="257" t="str">
        <f>IF(D28="Correctivo",C27-(C27*E28),C27)</f>
        <v/>
      </c>
      <c r="D28" s="88" t="str">
        <f>IFERROR(IF(VLOOKUP(_xlfn.CONCAT($A$18,$A28),Controles!$B$8:$N$37,8,FALSE)=0,"",VLOOKUP(_xlfn.CONCAT($A$18,$A28),Controles!$B$8:$N$37,8,FALSE)),"")</f>
        <v/>
      </c>
      <c r="E28" s="258" t="str">
        <f>IFERROR(VLOOKUP(IFERROR(IF(VLOOKUP(_xlfn.CONCAT($A$18,$A28),Controles!$B$8:$N$37,8,FALSE)=0,"",VLOOKUP(_xlfn.CONCAT($A$18,$A28),Controles!$B$8:$N$37,8,FALSE)),""),'Tablas de validación'!$B$39:$C$41,2,FALSE)+VLOOKUP(IFERROR(IF(VLOOKUP(_xlfn.CONCAT($A$18,$A28),Controles!$B$8:$N$37,9,FALSE)=0,"",VLOOKUP(_xlfn.CONCAT($A$18,$A28),Controles!$B$8:$N$37,9,FALSE)),""),'Tablas de validación'!$D$39:$E$40,2,FALSE),"")</f>
        <v/>
      </c>
      <c r="G28" s="258">
        <v>10</v>
      </c>
      <c r="H28" s="257" t="str">
        <f>IF(OR(J28="Preventivo",J28="detectivo"),H27-(H27*K28),H27)</f>
        <v/>
      </c>
      <c r="I28" s="257" t="str">
        <f>IF(J28="Correctivo",I27-(I27*K28),I27)</f>
        <v/>
      </c>
      <c r="J28" s="88" t="str">
        <f>IFERROR(IF(VLOOKUP(_xlfn.CONCAT($G$18,$G28),Controles!$B$8:$N$37,8,FALSE)=0,"",VLOOKUP(_xlfn.CONCAT($G$18,$G28),Controles!$B$8:$N$37,8,FALSE)),"")</f>
        <v/>
      </c>
      <c r="K28" s="258" t="str">
        <f>IFERROR(VLOOKUP(IFERROR(IF(VLOOKUP(_xlfn.CONCAT($G$18,$G28),Controles!$B$8:$N$37,8,FALSE)=0,"",VLOOKUP(_xlfn.CONCAT($G$18,$G28),Controles!$B$8:$N$37,8,FALSE)),""),'Tablas de validación'!$B$39:$C$41,2,FALSE)+VLOOKUP(IFERROR(IF(VLOOKUP(_xlfn.CONCAT($G$18,$G28),Controles!$B$8:$N$37,9,FALSE)=0,"",VLOOKUP(_xlfn.CONCAT($G$18,$G28),Controles!$B$8:$N$37,9,FALSE)),""),'Tablas de validación'!$D$39:$E$40,2,FALSE),"")</f>
        <v/>
      </c>
      <c r="M28" s="258">
        <v>10</v>
      </c>
      <c r="N28" s="257" t="str">
        <f>IF(OR(P28="Preventivo",P28="detectivo"),N27-(N27*Q28),N27)</f>
        <v/>
      </c>
      <c r="O28" s="257" t="str">
        <f>IF(P28="Correctivo",O27-(O27*Q28),O27)</f>
        <v/>
      </c>
      <c r="P28" s="88" t="str">
        <f>IFERROR(IF(VLOOKUP(_xlfn.CONCAT($M$18,$M28),Controles!$B$8:$N$37,8,FALSE)=0,"",VLOOKUP(_xlfn.CONCAT($M$18,$M28),Controles!$B$8:$N$37,8,FALSE)),"")</f>
        <v/>
      </c>
      <c r="Q28" s="258" t="str">
        <f>IFERROR(VLOOKUP(IFERROR(IF(VLOOKUP(_xlfn.CONCAT($M$18,$M28),Controles!$B$8:$N$37,8,FALSE)=0,"",VLOOKUP(_xlfn.CONCAT($M$18,$M28),Controles!$B$8:$N$37,8,FALSE)),""),'Tablas de validación'!$B$39:$C$41,2,FALSE)+VLOOKUP(IFERROR(IF(VLOOKUP(_xlfn.CONCAT($M$18,$M28),Controles!$B$8:$N$37,9,FALSE)=0,"",VLOOKUP(_xlfn.CONCAT($M$18,$G28),Controles!$B$8:$N$37,9,FALSE)),""),'Tablas de validación'!$D$39:$E$40,2,FALSE),"")</f>
        <v/>
      </c>
      <c r="S28" s="258">
        <v>10</v>
      </c>
      <c r="T28" s="257" t="str">
        <f>IF(OR(V28="Preventivo",V28="detectivo"),T27-(T27*W28),T27)</f>
        <v/>
      </c>
      <c r="U28" s="257" t="str">
        <f>IF(V28="Correctivo",U27-(U27*W28),U27)</f>
        <v/>
      </c>
      <c r="V28" s="88" t="str">
        <f>IFERROR(IF(VLOOKUP(_xlfn.CONCAT($S$18,$S28),Controles!$B$8:$N$37,8,FALSE)=0,"",VLOOKUP(_xlfn.CONCAT($S$18,$S28),Controles!$B$8:$N$37,8,FALSE)),"")</f>
        <v/>
      </c>
      <c r="W28" s="258" t="str">
        <f>IFERROR(VLOOKUP(IFERROR(IF(VLOOKUP(_xlfn.CONCAT($S$18,$S28),Controles!$B$8:$N$37,8,FALSE)=0,"",VLOOKUP(_xlfn.CONCAT($S$18,$S28),Controles!$B$8:$N$37,8,FALSE)),""),'Tablas de validación'!$B$39:$C$41,2,FALSE)+VLOOKUP(IFERROR(IF(VLOOKUP(_xlfn.CONCAT($S$18,$M28),Controles!$B$8:$N$37,9,FALSE)=0,"",VLOOKUP(_xlfn.CONCAT($S$18,$G28),Controles!$B$8:$N$37,9,FALSE)),""),'Tablas de validación'!$D$39:$E$40,2,FALSE),"")</f>
        <v/>
      </c>
    </row>
    <row r="29" spans="1:23" x14ac:dyDescent="0.3">
      <c r="A29" s="88" t="str">
        <f>_xlfn.CONCAT("Residual ",A18)</f>
        <v>Residual 0</v>
      </c>
      <c r="B29" s="258" t="e">
        <f>VLOOKUP(IFERROR(IF(B28="",0,IF(B28&lt;=0.2,5,IF(AND(B28&gt;0.2,B28&lt;=0.4),4,IF(AND(B28&gt;0.4,B28&lt;=0.6),3,IF(AND(B28&gt;0.6,B28&lt;=0.8),2,1))))),""),Hoja2!$F$3:$K$7,4,FALSE)</f>
        <v>#N/A</v>
      </c>
      <c r="C29" s="258" t="e">
        <f>VLOOKUP(IFERROR(IF(C28="",0,IF(C28&lt;=0.2,1,IF(AND(C28&gt;0.2,C28&lt;=0.4),2,IF(AND(C28&gt;0.4,C28&lt;=0.6),3,IF(AND(C28&gt;0.6,C28&lt;=0.8),4,5))))),""),Hoja2!$A$3:$D$7,4,FALSE)</f>
        <v>#N/A</v>
      </c>
      <c r="D29" s="243" t="str">
        <f>IFERROR(VLOOKUP(B29,Hoja2!$S$4:$X$8,MATCH(C29,Hoja2!$S$3:$X$3,0),0),"")</f>
        <v/>
      </c>
      <c r="E29" s="259"/>
      <c r="G29" s="88" t="str">
        <f>_xlfn.CONCAT("Residual ",G18)</f>
        <v>Residual 0</v>
      </c>
      <c r="H29" s="258" t="e">
        <f>VLOOKUP(IFERROR(IF(H28="",0,IF(H28&lt;=0.2,5,IF(AND(H28&gt;0.2,H28&lt;=0.4),4,IF(AND(H28&gt;0.4,H28&lt;=0.6),3,IF(AND(H28&gt;0.6,H28&lt;=0.8),2,1))))),""),Hoja2!$F$3:$K$7,4,FALSE)</f>
        <v>#N/A</v>
      </c>
      <c r="I29" s="258" t="e">
        <f>VLOOKUP(IFERROR(IF(I28="",0,IF(I28&lt;=0.2,1,IF(AND(I28&gt;0.2,I28&lt;=0.4),2,IF(AND(I28&gt;0.4,I28&lt;=0.6),3,IF(AND(I28&gt;0.6,I28&lt;=0.8),4,5))))),""),Hoja2!$A$3:$D$7,4,FALSE)</f>
        <v>#N/A</v>
      </c>
      <c r="J29" s="243" t="str">
        <f>IFERROR(VLOOKUP(H29,Hoja2!$S$4:$X$8,MATCH(I29,Hoja2!$S$3:$X$3,0),0),"")</f>
        <v/>
      </c>
      <c r="K29" s="259"/>
      <c r="M29" s="88" t="str">
        <f>_xlfn.CONCAT("Residual ",M18)</f>
        <v>Residual 0</v>
      </c>
      <c r="N29" s="258" t="e">
        <f>VLOOKUP(IFERROR(IF(N28="",0,IF(N28&lt;=0.2,5,IF(AND(N28&gt;0.2,N28&lt;=0.4),4,IF(AND(N28&gt;0.4,N28&lt;=0.6),3,IF(AND(N28&gt;0.6,N28&lt;=0.8),2,1))))),""),Hoja2!$F$3:$K$7,4,FALSE)</f>
        <v>#N/A</v>
      </c>
      <c r="O29" s="258" t="e">
        <f>VLOOKUP(IFERROR(IF(O28="",0,IF(O28&lt;=0.2,1,IF(AND(O28&gt;0.2,O28&lt;=0.4),2,IF(AND(O28&gt;0.4,O28&lt;=0.6),3,IF(AND(O28&gt;0.6,O28&lt;=0.8),4,5))))),""),Hoja2!$A$3:$D$7,4,FALSE)</f>
        <v>#N/A</v>
      </c>
      <c r="P29" s="243" t="str">
        <f>IFERROR(VLOOKUP(N29,Hoja2!$S$4:$X$8,MATCH(O29,Hoja2!$S$3:$X$3,0),0),"")</f>
        <v/>
      </c>
      <c r="Q29" s="259"/>
      <c r="S29" s="88" t="str">
        <f>_xlfn.CONCAT("Residual ",S18)</f>
        <v>Residual 0</v>
      </c>
      <c r="T29" s="258" t="e">
        <f>VLOOKUP(IFERROR(IF(T28="",0,IF(T28&lt;=0.2,5,IF(AND(T28&gt;0.2,T28&lt;=0.4),4,IF(AND(T28&gt;0.4,T28&lt;=0.6),3,IF(AND(T28&gt;0.6,T28&lt;=0.8),2,1))))),""),Hoja2!$F$3:$K$7,4,FALSE)</f>
        <v>#N/A</v>
      </c>
      <c r="U29" s="258" t="e">
        <f>VLOOKUP(IFERROR(IF(U28="",0,IF(U28&lt;=0.2,1,IF(AND(U28&gt;0.2,U28&lt;=0.4),2,IF(AND(U28&gt;0.4,U28&lt;=0.6),3,IF(AND(U28&gt;0.6,U28&lt;=0.8),4,5))))),""),Hoja2!$A$3:$D$7,4,FALSE)</f>
        <v>#N/A</v>
      </c>
      <c r="V29" s="243" t="str">
        <f>IFERROR(VLOOKUP(T29,Hoja2!$S$4:$X$8,MATCH(U29,Hoja2!$S$3:$X$3,0),0),"")</f>
        <v/>
      </c>
      <c r="W29" s="259"/>
    </row>
    <row r="31" spans="1:23" x14ac:dyDescent="0.3">
      <c r="B31" s="88" t="s">
        <v>164</v>
      </c>
      <c r="C31" s="88" t="s">
        <v>177</v>
      </c>
      <c r="H31" s="88" t="s">
        <v>164</v>
      </c>
      <c r="I31" s="88" t="s">
        <v>177</v>
      </c>
      <c r="N31" s="88" t="s">
        <v>164</v>
      </c>
      <c r="O31" s="88" t="s">
        <v>177</v>
      </c>
      <c r="T31" s="88" t="s">
        <v>164</v>
      </c>
      <c r="U31" s="88" t="s">
        <v>177</v>
      </c>
    </row>
    <row r="32" spans="1:23" x14ac:dyDescent="0.3">
      <c r="A32" s="88">
        <f>'Identificación de Riesgos'!A12</f>
        <v>0</v>
      </c>
      <c r="B32" s="257" t="str">
        <f>IFERROR(VLOOKUP(A32,'Identificación de Riesgos'!$A$8:$Y$18,14,FALSE),"")</f>
        <v/>
      </c>
      <c r="C32" s="257" t="str">
        <f>IFERROR(VLOOKUP(A32,'Identificación de Riesgos'!$A$8:$Y$18,22,FALSE),"")</f>
        <v/>
      </c>
      <c r="D32" s="258" t="s">
        <v>274</v>
      </c>
      <c r="E32" s="258" t="s">
        <v>275</v>
      </c>
      <c r="G32" s="88">
        <f>'Identificación de Riesgos'!A13</f>
        <v>0</v>
      </c>
      <c r="H32" s="257" t="str">
        <f>IFERROR(VLOOKUP(G32,'Identificación de Riesgos'!$A$8:$Y$18,14,FALSE),"")</f>
        <v/>
      </c>
      <c r="I32" s="257" t="str">
        <f>IFERROR(VLOOKUP(G32,'Identificación de Riesgos'!$A$8:$Y$18,22,FALSE),"")</f>
        <v/>
      </c>
      <c r="J32" s="258" t="s">
        <v>274</v>
      </c>
      <c r="K32" s="258" t="s">
        <v>275</v>
      </c>
      <c r="M32" s="88">
        <f>'Identificación de Riesgos'!A14</f>
        <v>0</v>
      </c>
      <c r="N32" s="257" t="str">
        <f>IFERROR(VLOOKUP(M32,'Identificación de Riesgos'!$A$8:$Y$18,14,FALSE),"")</f>
        <v/>
      </c>
      <c r="O32" s="257" t="str">
        <f>IFERROR(VLOOKUP(M32,'Identificación de Riesgos'!$A$8:$Y$18,22,FALSE),"")</f>
        <v/>
      </c>
      <c r="P32" s="258" t="s">
        <v>274</v>
      </c>
      <c r="Q32" s="258" t="s">
        <v>275</v>
      </c>
      <c r="S32" s="88">
        <f>'Identificación de Riesgos'!A15</f>
        <v>0</v>
      </c>
      <c r="T32" s="257" t="str">
        <f>IFERROR(VLOOKUP(S32,'Identificación de Riesgos'!$A$8:$Y$18,14,FALSE),"")</f>
        <v/>
      </c>
      <c r="U32" s="257" t="str">
        <f>IFERROR(VLOOKUP(S32,'Identificación de Riesgos'!$A$8:$Y$18,22,FALSE),"")</f>
        <v/>
      </c>
      <c r="V32" s="258" t="s">
        <v>274</v>
      </c>
      <c r="W32" s="258" t="s">
        <v>275</v>
      </c>
    </row>
    <row r="33" spans="1:23" x14ac:dyDescent="0.3">
      <c r="A33" s="258">
        <v>1</v>
      </c>
      <c r="B33" s="257" t="str">
        <f>IF(OR(D33="Preventivo",D33="detectivo"),B32-(B32*E33),B32)</f>
        <v/>
      </c>
      <c r="C33" s="257" t="str">
        <f>IF(D33="Correctivo",C32-(C32*E33),C32)</f>
        <v/>
      </c>
      <c r="D33" s="88" t="str">
        <f>IFERROR(IF(VLOOKUP(_xlfn.CONCAT($A$32,$A33),Controles!$B$8:$N$37,8,FALSE)=0,"",VLOOKUP(_xlfn.CONCAT($A$32,$A33),Controles!$B$8:$N$37,8,FALSE)),"")</f>
        <v/>
      </c>
      <c r="E33" s="258" t="str">
        <f>IFERROR(VLOOKUP(IFERROR(IF(VLOOKUP(_xlfn.CONCAT($A$32,$A33),Controles!$B$8:$N$37,8,FALSE)=0,"",VLOOKUP(_xlfn.CONCAT($A$32,$A33),Controles!$B$8:$N$37,8,FALSE)),""),'Tablas de validación'!$B$39:$C$41,2,FALSE)+VLOOKUP(IFERROR(IF(VLOOKUP(_xlfn.CONCAT($A$32,$A33),Controles!$B$8:$N$37,9,FALSE)=0,"",VLOOKUP(_xlfn.CONCAT($A$32,$A33),Controles!$B$8:$N$37,9,FALSE)),""),'Tablas de validación'!$D$39:$E$40,2,FALSE),"")</f>
        <v/>
      </c>
      <c r="G33" s="258">
        <v>1</v>
      </c>
      <c r="H33" s="257" t="str">
        <f>IF(OR(J33="Preventivo",J33="detectivo"),H32-(H32*K33),H32)</f>
        <v/>
      </c>
      <c r="I33" s="257" t="str">
        <f>IF(J33="Correctivo",I32-(I32*K33),I32)</f>
        <v/>
      </c>
      <c r="J33" s="88" t="str">
        <f>IFERROR(IF(VLOOKUP(_xlfn.CONCAT($G$32,$G33),Controles!$B$8:$N$37,8,FALSE)=0,"",VLOOKUP(_xlfn.CONCAT($G$32,$G33),Controles!$B$8:$N$37,8,FALSE)),"")</f>
        <v/>
      </c>
      <c r="K33" s="258" t="str">
        <f>IFERROR(VLOOKUP(IFERROR(IF(VLOOKUP(_xlfn.CONCAT($G$32,$G33),Controles!$B$8:$N$37,8,FALSE)=0,"",VLOOKUP(_xlfn.CONCAT($G$32,$G33),Controles!$B$8:$N$37,8,FALSE)),""),'Tablas de validación'!$B$39:$C$41,2,FALSE)+VLOOKUP(IFERROR(IF(VLOOKUP(_xlfn.CONCAT($G$32,$G33),Controles!$B$8:$N$37,9,FALSE)=0,"",VLOOKUP(_xlfn.CONCAT($G$32,$G33),Controles!$B$8:$N$37,9,FALSE)),""),'Tablas de validación'!$D$39:$E$40,2,FALSE),"")</f>
        <v/>
      </c>
      <c r="M33" s="258">
        <v>1</v>
      </c>
      <c r="N33" s="257" t="str">
        <f>IF(OR(P33="Preventivo",P33="detectivo"),N32-(N32*Q33),N32)</f>
        <v/>
      </c>
      <c r="O33" s="257" t="str">
        <f>IF(P33="Correctivo",O32-(O32*Q33),O32)</f>
        <v/>
      </c>
      <c r="P33" s="88" t="str">
        <f>IFERROR(IF(VLOOKUP(_xlfn.CONCAT($M$32,$M33),Controles!$B$8:$N$37,8,FALSE)=0,"",VLOOKUP(_xlfn.CONCAT($M$32,$M33),Controles!$B$8:$N$37,8,FALSE)),"")</f>
        <v/>
      </c>
      <c r="Q33" s="258" t="str">
        <f>IFERROR(VLOOKUP(IFERROR(IF(VLOOKUP(_xlfn.CONCAT($M$32,$M33),Controles!$B$8:$N$37,8,FALSE)=0,"",VLOOKUP(_xlfn.CONCAT($M$32,$M33),Controles!$B$8:$N$37,8,FALSE)),""),'Tablas de validación'!$B$39:$C$41,2,FALSE)+VLOOKUP(IFERROR(IF(VLOOKUP(_xlfn.CONCAT($M$32,$M33),Controles!$B$8:$N$37,9,FALSE)=0,"",VLOOKUP(_xlfn.CONCAT($M$32,$G33),Controles!$B$8:$N$37,9,FALSE)),""),'Tablas de validación'!$D$39:$E$40,2,FALSE),"")</f>
        <v/>
      </c>
      <c r="S33" s="258">
        <v>1</v>
      </c>
      <c r="T33" s="257" t="str">
        <f>IF(OR(V33="Preventivo",V33="detectivo"),T32-(T32*W33),T32)</f>
        <v/>
      </c>
      <c r="U33" s="257" t="str">
        <f>IF(V33="Correctivo",U32-(U32*W33),U32)</f>
        <v/>
      </c>
      <c r="V33" s="88" t="str">
        <f>IFERROR(IF(VLOOKUP(_xlfn.CONCAT($S$32,$S33),Controles!$B$8:$N$37,8,FALSE)=0,"",VLOOKUP(_xlfn.CONCAT($S$32,$S33),Controles!$B$8:$N$37,8,FALSE)),"")</f>
        <v/>
      </c>
      <c r="W33" s="258" t="str">
        <f>IFERROR(VLOOKUP(IFERROR(IF(VLOOKUP(_xlfn.CONCAT($S$32,$S33),Controles!$B$8:$N$37,8,FALSE)=0,"",VLOOKUP(_xlfn.CONCAT($S$32,$S33),Controles!$B$8:$N$37,8,FALSE)),""),'Tablas de validación'!$B$39:$C$41,2,FALSE)+VLOOKUP(IFERROR(IF(VLOOKUP(_xlfn.CONCAT($S$32,$M33),Controles!$B$8:$N$37,9,FALSE)=0,"",VLOOKUP(_xlfn.CONCAT($S$32,$G33),Controles!$B$8:$N$37,9,FALSE)),""),'Tablas de validación'!$D$39:$E$40,2,FALSE),"")</f>
        <v/>
      </c>
    </row>
    <row r="34" spans="1:23" x14ac:dyDescent="0.3">
      <c r="A34" s="258">
        <v>2</v>
      </c>
      <c r="B34" s="257" t="str">
        <f>IF(OR(D34="Preventivo",D34="detectivo"),B33-(B33*E34),B33)</f>
        <v/>
      </c>
      <c r="C34" s="257" t="str">
        <f t="shared" ref="C34:C41" si="8">IF(D34="Correctivo",C33-(C33*E34),C33)</f>
        <v/>
      </c>
      <c r="D34" s="88" t="str">
        <f>IFERROR(IF(VLOOKUP(_xlfn.CONCAT($A$32,$A34),Controles!$B$8:$N$37,8,FALSE)=0,"",VLOOKUP(_xlfn.CONCAT($A$32,$A34),Controles!$B$8:$N$37,8,FALSE)),"")</f>
        <v/>
      </c>
      <c r="E34" s="258" t="str">
        <f>IFERROR(VLOOKUP(IFERROR(IF(VLOOKUP(_xlfn.CONCAT($A$32,$A34),Controles!$B$8:$N$37,8,FALSE)=0,"",VLOOKUP(_xlfn.CONCAT($A$32,$A34),Controles!$B$8:$N$37,8,FALSE)),""),'Tablas de validación'!$B$39:$C$41,2,FALSE)+VLOOKUP(IFERROR(IF(VLOOKUP(_xlfn.CONCAT($A$32,$A34),Controles!$B$8:$N$37,9,FALSE)=0,"",VLOOKUP(_xlfn.CONCAT($A$32,$A34),Controles!$B$8:$N$37,9,FALSE)),""),'Tablas de validación'!$D$39:$E$40,2,FALSE),"")</f>
        <v/>
      </c>
      <c r="G34" s="258">
        <v>2</v>
      </c>
      <c r="H34" s="257" t="str">
        <f>IF(OR(J34="Preventivo",J34="detectivo"),H33-(H33*K34),H33)</f>
        <v/>
      </c>
      <c r="I34" s="257" t="str">
        <f t="shared" ref="I34:I41" si="9">IF(J34="Correctivo",I33-(I33*K34),I33)</f>
        <v/>
      </c>
      <c r="J34" s="88" t="str">
        <f>IFERROR(IF(VLOOKUP(_xlfn.CONCAT($G$32,$G34),Controles!$B$8:$N$37,8,FALSE)=0,"",VLOOKUP(_xlfn.CONCAT($G$32,$G34),Controles!$B$8:$N$37,8,FALSE)),"")</f>
        <v/>
      </c>
      <c r="K34" s="258" t="str">
        <f>IFERROR(VLOOKUP(IFERROR(IF(VLOOKUP(_xlfn.CONCAT($G$32,$G34),Controles!$B$8:$N$37,8,FALSE)=0,"",VLOOKUP(_xlfn.CONCAT($G$32,$G34),Controles!$B$8:$N$37,8,FALSE)),""),'Tablas de validación'!$B$39:$C$41,2,FALSE)+VLOOKUP(IFERROR(IF(VLOOKUP(_xlfn.CONCAT($G$32,$G34),Controles!$B$8:$N$37,9,FALSE)=0,"",VLOOKUP(_xlfn.CONCAT($G$32,$G34),Controles!$B$8:$N$37,9,FALSE)),""),'Tablas de validación'!$D$39:$E$40,2,FALSE),"")</f>
        <v/>
      </c>
      <c r="M34" s="258">
        <v>2</v>
      </c>
      <c r="N34" s="257" t="str">
        <f>IF(OR(P34="Preventivo",P34="detectivo"),N33-(N33*Q34),N33)</f>
        <v/>
      </c>
      <c r="O34" s="257" t="str">
        <f t="shared" ref="O34:O41" si="10">IF(P34="Correctivo",O33-(O33*Q34),O33)</f>
        <v/>
      </c>
      <c r="P34" s="88" t="str">
        <f>IFERROR(IF(VLOOKUP(_xlfn.CONCAT($M$32,$M34),Controles!$B$8:$N$37,8,FALSE)=0,"",VLOOKUP(_xlfn.CONCAT($M$32,$M34),Controles!$B$8:$N$37,8,FALSE)),"")</f>
        <v/>
      </c>
      <c r="Q34" s="258" t="str">
        <f>IFERROR(VLOOKUP(IFERROR(IF(VLOOKUP(_xlfn.CONCAT($M$32,$M34),Controles!$B$8:$N$37,8,FALSE)=0,"",VLOOKUP(_xlfn.CONCAT($M$32,$M34),Controles!$B$8:$N$37,8,FALSE)),""),'Tablas de validación'!$B$39:$C$41,2,FALSE)+VLOOKUP(IFERROR(IF(VLOOKUP(_xlfn.CONCAT($M$32,$M34),Controles!$B$8:$N$37,9,FALSE)=0,"",VLOOKUP(_xlfn.CONCAT($M$32,$G34),Controles!$B$8:$N$37,9,FALSE)),""),'Tablas de validación'!$D$39:$E$40,2,FALSE),"")</f>
        <v/>
      </c>
      <c r="S34" s="258">
        <v>2</v>
      </c>
      <c r="T34" s="257" t="str">
        <f>IF(OR(V34="Preventivo",V34="detectivo"),T33-(T33*W34),T33)</f>
        <v/>
      </c>
      <c r="U34" s="257" t="str">
        <f t="shared" ref="U34" si="11">IF(V34="Correctivo",U33-(U33*W34),U33)</f>
        <v/>
      </c>
      <c r="V34" s="88" t="str">
        <f>IFERROR(IF(VLOOKUP(_xlfn.CONCAT($S$32,$S34),Controles!$B$8:$N$37,8,FALSE)=0,"",VLOOKUP(_xlfn.CONCAT($S$32,$S34),Controles!$B$8:$N$37,8,FALSE)),"")</f>
        <v/>
      </c>
      <c r="W34" s="258" t="str">
        <f>IFERROR(VLOOKUP(IFERROR(IF(VLOOKUP(_xlfn.CONCAT($S$32,$S34),Controles!$B$8:$N$37,8,FALSE)=0,"",VLOOKUP(_xlfn.CONCAT($S$32,$S34),Controles!$B$8:$N$37,8,FALSE)),""),'Tablas de validación'!$B$39:$C$41,2,FALSE)+VLOOKUP(IFERROR(IF(VLOOKUP(_xlfn.CONCAT($S$32,$M34),Controles!$B$8:$N$37,9,FALSE)=0,"",VLOOKUP(_xlfn.CONCAT($S$32,$G34),Controles!$B$8:$N$37,9,FALSE)),""),'Tablas de validación'!$D$39:$E$40,2,FALSE),"")</f>
        <v/>
      </c>
    </row>
    <row r="35" spans="1:23" x14ac:dyDescent="0.3">
      <c r="A35" s="258">
        <v>3</v>
      </c>
      <c r="B35" s="257" t="str">
        <f>IF(OR(D35="Preventivo",D35="detectivo"),B34-(B34*E35),B34)</f>
        <v/>
      </c>
      <c r="C35" s="257" t="str">
        <f t="shared" si="8"/>
        <v/>
      </c>
      <c r="D35" s="88" t="str">
        <f>IFERROR(IF(VLOOKUP(_xlfn.CONCAT($A$32,$A35),Controles!$B$8:$N$37,8,FALSE)=0,"",VLOOKUP(_xlfn.CONCAT($A$32,$A35),Controles!$B$8:$N$37,8,FALSE)),"")</f>
        <v/>
      </c>
      <c r="E35" s="258" t="str">
        <f>IFERROR(VLOOKUP(IFERROR(IF(VLOOKUP(_xlfn.CONCAT($A$32,$A35),Controles!$B$8:$N$37,8,FALSE)=0,"",VLOOKUP(_xlfn.CONCAT($A$32,$A35),Controles!$B$8:$N$37,8,FALSE)),""),'Tablas de validación'!$B$39:$C$41,2,FALSE)+VLOOKUP(IFERROR(IF(VLOOKUP(_xlfn.CONCAT($A$32,$A35),Controles!$B$8:$N$37,9,FALSE)=0,"",VLOOKUP(_xlfn.CONCAT($A$32,$A35),Controles!$B$8:$N$37,9,FALSE)),""),'Tablas de validación'!$D$39:$E$40,2,FALSE),"")</f>
        <v/>
      </c>
      <c r="G35" s="258">
        <v>3</v>
      </c>
      <c r="H35" s="257" t="str">
        <f>IF(OR(J35="Preventivo",J35="detectivo"),H34-(H34*K35),H34)</f>
        <v/>
      </c>
      <c r="I35" s="257" t="str">
        <f t="shared" si="9"/>
        <v/>
      </c>
      <c r="J35" s="88" t="str">
        <f>IFERROR(IF(VLOOKUP(_xlfn.CONCAT($G$32,$G35),Controles!$B$8:$N$37,8,FALSE)=0,"",VLOOKUP(_xlfn.CONCAT($G$32,$G35),Controles!$B$8:$N$37,8,FALSE)),"")</f>
        <v/>
      </c>
      <c r="K35" s="258" t="str">
        <f>IFERROR(VLOOKUP(IFERROR(IF(VLOOKUP(_xlfn.CONCAT($G$32,$G35),Controles!$B$8:$N$37,8,FALSE)=0,"",VLOOKUP(_xlfn.CONCAT($G$32,$G35),Controles!$B$8:$N$37,8,FALSE)),""),'Tablas de validación'!$B$39:$C$41,2,FALSE)+VLOOKUP(IFERROR(IF(VLOOKUP(_xlfn.CONCAT($G$32,$G35),Controles!$B$8:$N$37,9,FALSE)=0,"",VLOOKUP(_xlfn.CONCAT($G$32,$G35),Controles!$B$8:$N$37,9,FALSE)),""),'Tablas de validación'!$D$39:$E$40,2,FALSE),"")</f>
        <v/>
      </c>
      <c r="M35" s="258">
        <v>3</v>
      </c>
      <c r="N35" s="257" t="str">
        <f>IF(OR(P35="Preventivo",P35="detectivo"),N34-(N34*Q35),N34)</f>
        <v/>
      </c>
      <c r="O35" s="257" t="str">
        <f t="shared" si="10"/>
        <v/>
      </c>
      <c r="P35" s="88" t="str">
        <f>IFERROR(IF(VLOOKUP(_xlfn.CONCAT($M$32,$M35),Controles!$B$8:$N$37,8,FALSE)=0,"",VLOOKUP(_xlfn.CONCAT($M$32,$M35),Controles!$B$8:$N$37,8,FALSE)),"")</f>
        <v/>
      </c>
      <c r="Q35" s="258" t="str">
        <f>IFERROR(VLOOKUP(IFERROR(IF(VLOOKUP(_xlfn.CONCAT($M$32,$M35),Controles!$B$8:$N$37,8,FALSE)=0,"",VLOOKUP(_xlfn.CONCAT($M$32,$M35),Controles!$B$8:$N$37,8,FALSE)),""),'Tablas de validación'!$B$39:$C$41,2,FALSE)+VLOOKUP(IFERROR(IF(VLOOKUP(_xlfn.CONCAT($M$32,$M35),Controles!$B$8:$N$37,9,FALSE)=0,"",VLOOKUP(_xlfn.CONCAT($M$32,$G35),Controles!$B$8:$N$37,9,FALSE)),""),'Tablas de validación'!$D$39:$E$40,2,FALSE),"")</f>
        <v/>
      </c>
      <c r="S35" s="258">
        <v>3</v>
      </c>
      <c r="T35" s="257" t="str">
        <f>IF(OR(V35="Preventivo",V35="detectivo"),T34-(T34*W35),T34)</f>
        <v/>
      </c>
      <c r="U35" s="257" t="str">
        <f>IF(V35="Correctivo",U34-(U34*W35),U34)</f>
        <v/>
      </c>
      <c r="V35" s="88" t="str">
        <f>IFERROR(IF(VLOOKUP(_xlfn.CONCAT($S$32,$S35),Controles!$B$8:$N$37,8,FALSE)=0,"",VLOOKUP(_xlfn.CONCAT($S$32,$S35),Controles!$B$8:$N$37,8,FALSE)),"")</f>
        <v/>
      </c>
      <c r="W35" s="258" t="str">
        <f>IFERROR(VLOOKUP(IFERROR(IF(VLOOKUP(_xlfn.CONCAT($S$32,$S35),Controles!$B$8:$N$37,8,FALSE)=0,"",VLOOKUP(_xlfn.CONCAT($S$32,$S35),Controles!$B$8:$N$37,8,FALSE)),""),'Tablas de validación'!$B$39:$C$41,2,FALSE)+VLOOKUP(IFERROR(IF(VLOOKUP(_xlfn.CONCAT($S$32,$M35),Controles!$B$8:$N$37,9,FALSE)=0,"",VLOOKUP(_xlfn.CONCAT($S$32,$G35),Controles!$B$8:$N$37,9,FALSE)),""),'Tablas de validación'!$D$39:$E$40,2,FALSE),"")</f>
        <v/>
      </c>
    </row>
    <row r="36" spans="1:23" x14ac:dyDescent="0.3">
      <c r="A36" s="258">
        <v>4</v>
      </c>
      <c r="B36" s="257" t="str">
        <f t="shared" ref="B36:B41" si="12">IF(OR(D36="Preventivo",D36="detectivo"),B35-(B35*E36),B35)</f>
        <v/>
      </c>
      <c r="C36" s="257" t="str">
        <f t="shared" si="8"/>
        <v/>
      </c>
      <c r="D36" s="88" t="str">
        <f>IFERROR(IF(VLOOKUP(_xlfn.CONCAT($A$32,$A36),Controles!$B$8:$N$37,8,FALSE)=0,"",VLOOKUP(_xlfn.CONCAT($A$32,$A36),Controles!$B$8:$N$37,8,FALSE)),"")</f>
        <v/>
      </c>
      <c r="E36" s="258" t="str">
        <f>IFERROR(VLOOKUP(IFERROR(IF(VLOOKUP(_xlfn.CONCAT($A$32,$A36),Controles!$B$8:$N$37,8,FALSE)=0,"",VLOOKUP(_xlfn.CONCAT($A$32,$A36),Controles!$B$8:$N$37,8,FALSE)),""),'Tablas de validación'!$B$39:$C$41,2,FALSE)+VLOOKUP(IFERROR(IF(VLOOKUP(_xlfn.CONCAT($A$32,$A36),Controles!$B$8:$N$37,9,FALSE)=0,"",VLOOKUP(_xlfn.CONCAT($A$32,$A36),Controles!$B$8:$N$37,9,FALSE)),""),'Tablas de validación'!$D$39:$E$40,2,FALSE),"")</f>
        <v/>
      </c>
      <c r="G36" s="258">
        <v>4</v>
      </c>
      <c r="H36" s="257" t="str">
        <f t="shared" ref="H36:H41" si="13">IF(OR(J36="Preventivo",J36="detectivo"),H35-(H35*K36),H35)</f>
        <v/>
      </c>
      <c r="I36" s="257" t="str">
        <f t="shared" si="9"/>
        <v/>
      </c>
      <c r="J36" s="88" t="str">
        <f>IFERROR(IF(VLOOKUP(_xlfn.CONCAT($G$32,$G36),Controles!$B$8:$N$37,8,FALSE)=0,"",VLOOKUP(_xlfn.CONCAT($G$32,$G36),Controles!$B$8:$N$37,8,FALSE)),"")</f>
        <v/>
      </c>
      <c r="K36" s="258" t="str">
        <f>IFERROR(VLOOKUP(IFERROR(IF(VLOOKUP(_xlfn.CONCAT($G$32,$G36),Controles!$B$8:$N$37,8,FALSE)=0,"",VLOOKUP(_xlfn.CONCAT($G$32,$G36),Controles!$B$8:$N$37,8,FALSE)),""),'Tablas de validación'!$B$39:$C$41,2,FALSE)+VLOOKUP(IFERROR(IF(VLOOKUP(_xlfn.CONCAT($G$32,$G36),Controles!$B$8:$N$37,9,FALSE)=0,"",VLOOKUP(_xlfn.CONCAT($G$32,$G36),Controles!$B$8:$N$37,9,FALSE)),""),'Tablas de validación'!$D$39:$E$40,2,FALSE),"")</f>
        <v/>
      </c>
      <c r="M36" s="258">
        <v>4</v>
      </c>
      <c r="N36" s="257" t="str">
        <f t="shared" ref="N36:N41" si="14">IF(OR(P36="Preventivo",P36="detectivo"),N35-(N35*Q36),N35)</f>
        <v/>
      </c>
      <c r="O36" s="257" t="str">
        <f t="shared" si="10"/>
        <v/>
      </c>
      <c r="P36" s="88" t="str">
        <f>IFERROR(IF(VLOOKUP(_xlfn.CONCAT($M$32,$M36),Controles!$B$8:$N$37,8,FALSE)=0,"",VLOOKUP(_xlfn.CONCAT($M$32,$M36),Controles!$B$8:$N$37,8,FALSE)),"")</f>
        <v/>
      </c>
      <c r="Q36" s="258" t="str">
        <f>IFERROR(VLOOKUP(IFERROR(IF(VLOOKUP(_xlfn.CONCAT($M$32,$M36),Controles!$B$8:$N$37,8,FALSE)=0,"",VLOOKUP(_xlfn.CONCAT($M$32,$M36),Controles!$B$8:$N$37,8,FALSE)),""),'Tablas de validación'!$B$39:$C$41,2,FALSE)+VLOOKUP(IFERROR(IF(VLOOKUP(_xlfn.CONCAT($M$32,$M36),Controles!$B$8:$N$37,9,FALSE)=0,"",VLOOKUP(_xlfn.CONCAT($M$32,$G36),Controles!$B$8:$N$37,9,FALSE)),""),'Tablas de validación'!$D$39:$E$40,2,FALSE),"")</f>
        <v/>
      </c>
      <c r="S36" s="258">
        <v>4</v>
      </c>
      <c r="T36" s="257" t="str">
        <f t="shared" ref="T36:T41" si="15">IF(OR(V36="Preventivo",V36="detectivo"),T35-(T35*W36),T35)</f>
        <v/>
      </c>
      <c r="U36" s="257" t="str">
        <f t="shared" ref="U36:U41" si="16">IF(V36="Correctivo",U35-(U35*W36),U35)</f>
        <v/>
      </c>
      <c r="V36" s="88" t="str">
        <f>IFERROR(IF(VLOOKUP(_xlfn.CONCAT($S$32,$S36),Controles!$B$8:$N$37,8,FALSE)=0,"",VLOOKUP(_xlfn.CONCAT($S$32,$S36),Controles!$B$8:$N$37,8,FALSE)),"")</f>
        <v/>
      </c>
      <c r="W36" s="258" t="str">
        <f>IFERROR(VLOOKUP(IFERROR(IF(VLOOKUP(_xlfn.CONCAT($S$32,$S36),Controles!$B$8:$N$37,8,FALSE)=0,"",VLOOKUP(_xlfn.CONCAT($S$32,$S36),Controles!$B$8:$N$37,8,FALSE)),""),'Tablas de validación'!$B$39:$C$41,2,FALSE)+VLOOKUP(IFERROR(IF(VLOOKUP(_xlfn.CONCAT($S$32,$M36),Controles!$B$8:$N$37,9,FALSE)=0,"",VLOOKUP(_xlfn.CONCAT($S$32,$G36),Controles!$B$8:$N$37,9,FALSE)),""),'Tablas de validación'!$D$39:$E$40,2,FALSE),"")</f>
        <v/>
      </c>
    </row>
    <row r="37" spans="1:23" x14ac:dyDescent="0.3">
      <c r="A37" s="258">
        <v>5</v>
      </c>
      <c r="B37" s="257" t="str">
        <f t="shared" si="12"/>
        <v/>
      </c>
      <c r="C37" s="257" t="str">
        <f t="shared" si="8"/>
        <v/>
      </c>
      <c r="D37" s="88" t="str">
        <f>IFERROR(IF(VLOOKUP(_xlfn.CONCAT($A$32,$A37),Controles!$B$8:$N$37,8,FALSE)=0,"",VLOOKUP(_xlfn.CONCAT($A$32,$A37),Controles!$B$8:$N$37,8,FALSE)),"")</f>
        <v/>
      </c>
      <c r="E37" s="258" t="str">
        <f>IFERROR(VLOOKUP(IFERROR(IF(VLOOKUP(_xlfn.CONCAT($A$32,$A37),Controles!$B$8:$N$37,8,FALSE)=0,"",VLOOKUP(_xlfn.CONCAT($A$32,$A37),Controles!$B$8:$N$37,8,FALSE)),""),'Tablas de validación'!$B$39:$C$41,2,FALSE)+VLOOKUP(IFERROR(IF(VLOOKUP(_xlfn.CONCAT($A$32,$A37),Controles!$B$8:$N$37,9,FALSE)=0,"",VLOOKUP(_xlfn.CONCAT($A$32,$A37),Controles!$B$8:$N$37,9,FALSE)),""),'Tablas de validación'!$D$39:$E$40,2,FALSE),"")</f>
        <v/>
      </c>
      <c r="G37" s="258">
        <v>5</v>
      </c>
      <c r="H37" s="257" t="str">
        <f t="shared" si="13"/>
        <v/>
      </c>
      <c r="I37" s="257" t="str">
        <f t="shared" si="9"/>
        <v/>
      </c>
      <c r="J37" s="88" t="str">
        <f>IFERROR(IF(VLOOKUP(_xlfn.CONCAT($G$32,$G37),Controles!$B$8:$N$37,8,FALSE)=0,"",VLOOKUP(_xlfn.CONCAT($G$32,$G37),Controles!$B$8:$N$37,8,FALSE)),"")</f>
        <v/>
      </c>
      <c r="K37" s="258" t="str">
        <f>IFERROR(VLOOKUP(IFERROR(IF(VLOOKUP(_xlfn.CONCAT($G$32,$G37),Controles!$B$8:$N$37,8,FALSE)=0,"",VLOOKUP(_xlfn.CONCAT($G$32,$G37),Controles!$B$8:$N$37,8,FALSE)),""),'Tablas de validación'!$B$39:$C$41,2,FALSE)+VLOOKUP(IFERROR(IF(VLOOKUP(_xlfn.CONCAT($G$32,$G37),Controles!$B$8:$N$37,9,FALSE)=0,"",VLOOKUP(_xlfn.CONCAT($G$32,$G37),Controles!$B$8:$N$37,9,FALSE)),""),'Tablas de validación'!$D$39:$E$40,2,FALSE),"")</f>
        <v/>
      </c>
      <c r="M37" s="258">
        <v>5</v>
      </c>
      <c r="N37" s="257" t="str">
        <f t="shared" si="14"/>
        <v/>
      </c>
      <c r="O37" s="257" t="str">
        <f t="shared" si="10"/>
        <v/>
      </c>
      <c r="P37" s="88" t="str">
        <f>IFERROR(IF(VLOOKUP(_xlfn.CONCAT($M$32,$M37),Controles!$B$8:$N$37,8,FALSE)=0,"",VLOOKUP(_xlfn.CONCAT($M$32,$M37),Controles!$B$8:$N$37,8,FALSE)),"")</f>
        <v/>
      </c>
      <c r="Q37" s="258" t="str">
        <f>IFERROR(VLOOKUP(IFERROR(IF(VLOOKUP(_xlfn.CONCAT($M$32,$M37),Controles!$B$8:$N$37,8,FALSE)=0,"",VLOOKUP(_xlfn.CONCAT($M$32,$M37),Controles!$B$8:$N$37,8,FALSE)),""),'Tablas de validación'!$B$39:$C$41,2,FALSE)+VLOOKUP(IFERROR(IF(VLOOKUP(_xlfn.CONCAT($M$32,$M37),Controles!$B$8:$N$37,9,FALSE)=0,"",VLOOKUP(_xlfn.CONCAT($M$32,$G37),Controles!$B$8:$N$37,9,FALSE)),""),'Tablas de validación'!$D$39:$E$40,2,FALSE),"")</f>
        <v/>
      </c>
      <c r="S37" s="258">
        <v>5</v>
      </c>
      <c r="T37" s="257" t="str">
        <f t="shared" si="15"/>
        <v/>
      </c>
      <c r="U37" s="257" t="str">
        <f t="shared" si="16"/>
        <v/>
      </c>
      <c r="V37" s="88" t="str">
        <f>IFERROR(IF(VLOOKUP(_xlfn.CONCAT($S$32,$S37),Controles!$B$8:$N$37,8,FALSE)=0,"",VLOOKUP(_xlfn.CONCAT($S$32,$S37),Controles!$B$8:$N$37,8,FALSE)),"")</f>
        <v/>
      </c>
      <c r="W37" s="258" t="str">
        <f>IFERROR(VLOOKUP(IFERROR(IF(VLOOKUP(_xlfn.CONCAT($S$32,$S37),Controles!$B$8:$N$37,8,FALSE)=0,"",VLOOKUP(_xlfn.CONCAT($S$32,$S37),Controles!$B$8:$N$37,8,FALSE)),""),'Tablas de validación'!$B$39:$C$41,2,FALSE)+VLOOKUP(IFERROR(IF(VLOOKUP(_xlfn.CONCAT($S$32,$M37),Controles!$B$8:$N$37,9,FALSE)=0,"",VLOOKUP(_xlfn.CONCAT($S$32,$G37),Controles!$B$8:$N$37,9,FALSE)),""),'Tablas de validación'!$D$39:$E$40,2,FALSE),"")</f>
        <v/>
      </c>
    </row>
    <row r="38" spans="1:23" x14ac:dyDescent="0.3">
      <c r="A38" s="258">
        <v>6</v>
      </c>
      <c r="B38" s="257" t="str">
        <f t="shared" si="12"/>
        <v/>
      </c>
      <c r="C38" s="257" t="str">
        <f t="shared" si="8"/>
        <v/>
      </c>
      <c r="D38" s="88" t="str">
        <f>IFERROR(IF(VLOOKUP(_xlfn.CONCAT($A$32,$A38),Controles!$B$8:$N$37,8,FALSE)=0,"",VLOOKUP(_xlfn.CONCAT($A$32,$A38),Controles!$B$8:$N$37,8,FALSE)),"")</f>
        <v/>
      </c>
      <c r="E38" s="258" t="str">
        <f>IFERROR(VLOOKUP(IFERROR(IF(VLOOKUP(_xlfn.CONCAT($A$32,$A38),Controles!$B$8:$N$37,8,FALSE)=0,"",VLOOKUP(_xlfn.CONCAT($A$32,$A38),Controles!$B$8:$N$37,8,FALSE)),""),'Tablas de validación'!$B$39:$C$41,2,FALSE)+VLOOKUP(IFERROR(IF(VLOOKUP(_xlfn.CONCAT($A$32,$A38),Controles!$B$8:$N$37,9,FALSE)=0,"",VLOOKUP(_xlfn.CONCAT($A$32,$A38),Controles!$B$8:$N$37,9,FALSE)),""),'Tablas de validación'!$D$39:$E$40,2,FALSE),"")</f>
        <v/>
      </c>
      <c r="G38" s="258">
        <v>6</v>
      </c>
      <c r="H38" s="257" t="str">
        <f t="shared" si="13"/>
        <v/>
      </c>
      <c r="I38" s="257" t="str">
        <f t="shared" si="9"/>
        <v/>
      </c>
      <c r="J38" s="88" t="str">
        <f>IFERROR(IF(VLOOKUP(_xlfn.CONCAT($G$32,$G38),Controles!$B$8:$N$37,8,FALSE)=0,"",VLOOKUP(_xlfn.CONCAT($G$32,$G38),Controles!$B$8:$N$37,8,FALSE)),"")</f>
        <v/>
      </c>
      <c r="K38" s="258" t="str">
        <f>IFERROR(VLOOKUP(IFERROR(IF(VLOOKUP(_xlfn.CONCAT($G$32,$G38),Controles!$B$8:$N$37,8,FALSE)=0,"",VLOOKUP(_xlfn.CONCAT($G$32,$G38),Controles!$B$8:$N$37,8,FALSE)),""),'Tablas de validación'!$B$39:$C$41,2,FALSE)+VLOOKUP(IFERROR(IF(VLOOKUP(_xlfn.CONCAT($G$32,$G38),Controles!$B$8:$N$37,9,FALSE)=0,"",VLOOKUP(_xlfn.CONCAT($G$32,$G38),Controles!$B$8:$N$37,9,FALSE)),""),'Tablas de validación'!$D$39:$E$40,2,FALSE),"")</f>
        <v/>
      </c>
      <c r="M38" s="258">
        <v>6</v>
      </c>
      <c r="N38" s="257" t="str">
        <f t="shared" si="14"/>
        <v/>
      </c>
      <c r="O38" s="257" t="str">
        <f t="shared" si="10"/>
        <v/>
      </c>
      <c r="P38" s="88" t="str">
        <f>IFERROR(IF(VLOOKUP(_xlfn.CONCAT($M$32,$M38),Controles!$B$8:$N$37,8,FALSE)=0,"",VLOOKUP(_xlfn.CONCAT($M$32,$M38),Controles!$B$8:$N$37,8,FALSE)),"")</f>
        <v/>
      </c>
      <c r="Q38" s="258" t="str">
        <f>IFERROR(VLOOKUP(IFERROR(IF(VLOOKUP(_xlfn.CONCAT($M$32,$M38),Controles!$B$8:$N$37,8,FALSE)=0,"",VLOOKUP(_xlfn.CONCAT($M$32,$M38),Controles!$B$8:$N$37,8,FALSE)),""),'Tablas de validación'!$B$39:$C$41,2,FALSE)+VLOOKUP(IFERROR(IF(VLOOKUP(_xlfn.CONCAT($M$32,$M38),Controles!$B$8:$N$37,9,FALSE)=0,"",VLOOKUP(_xlfn.CONCAT($M$32,$G38),Controles!$B$8:$N$37,9,FALSE)),""),'Tablas de validación'!$D$39:$E$40,2,FALSE),"")</f>
        <v/>
      </c>
      <c r="S38" s="258">
        <v>6</v>
      </c>
      <c r="T38" s="257" t="str">
        <f t="shared" si="15"/>
        <v/>
      </c>
      <c r="U38" s="257" t="str">
        <f t="shared" si="16"/>
        <v/>
      </c>
      <c r="V38" s="88" t="str">
        <f>IFERROR(IF(VLOOKUP(_xlfn.CONCAT($S$32,$S38),Controles!$B$8:$N$37,8,FALSE)=0,"",VLOOKUP(_xlfn.CONCAT($S$32,$S38),Controles!$B$8:$N$37,8,FALSE)),"")</f>
        <v/>
      </c>
      <c r="W38" s="258" t="str">
        <f>IFERROR(VLOOKUP(IFERROR(IF(VLOOKUP(_xlfn.CONCAT($S$32,$S38),Controles!$B$8:$N$37,8,FALSE)=0,"",VLOOKUP(_xlfn.CONCAT($S$32,$S38),Controles!$B$8:$N$37,8,FALSE)),""),'Tablas de validación'!$B$39:$C$41,2,FALSE)+VLOOKUP(IFERROR(IF(VLOOKUP(_xlfn.CONCAT($S$32,$M38),Controles!$B$8:$N$37,9,FALSE)=0,"",VLOOKUP(_xlfn.CONCAT($S$32,$G38),Controles!$B$8:$N$37,9,FALSE)),""),'Tablas de validación'!$D$39:$E$40,2,FALSE),"")</f>
        <v/>
      </c>
    </row>
    <row r="39" spans="1:23" x14ac:dyDescent="0.3">
      <c r="A39" s="258">
        <v>7</v>
      </c>
      <c r="B39" s="257" t="str">
        <f t="shared" si="12"/>
        <v/>
      </c>
      <c r="C39" s="257" t="str">
        <f t="shared" si="8"/>
        <v/>
      </c>
      <c r="D39" s="88" t="str">
        <f>IFERROR(IF(VLOOKUP(_xlfn.CONCAT($A$32,$A39),Controles!$B$8:$N$37,8,FALSE)=0,"",VLOOKUP(_xlfn.CONCAT($A$32,$A39),Controles!$B$8:$N$37,8,FALSE)),"")</f>
        <v/>
      </c>
      <c r="E39" s="258" t="str">
        <f>IFERROR(VLOOKUP(IFERROR(IF(VLOOKUP(_xlfn.CONCAT($A$32,$A39),Controles!$B$8:$N$37,8,FALSE)=0,"",VLOOKUP(_xlfn.CONCAT($A$32,$A39),Controles!$B$8:$N$37,8,FALSE)),""),'Tablas de validación'!$B$39:$C$41,2,FALSE)+VLOOKUP(IFERROR(IF(VLOOKUP(_xlfn.CONCAT($A$32,$A39),Controles!$B$8:$N$37,9,FALSE)=0,"",VLOOKUP(_xlfn.CONCAT($A$32,$A39),Controles!$B$8:$N$37,9,FALSE)),""),'Tablas de validación'!$D$39:$E$40,2,FALSE),"")</f>
        <v/>
      </c>
      <c r="G39" s="258">
        <v>7</v>
      </c>
      <c r="H39" s="257" t="str">
        <f t="shared" si="13"/>
        <v/>
      </c>
      <c r="I39" s="257" t="str">
        <f t="shared" si="9"/>
        <v/>
      </c>
      <c r="J39" s="88" t="str">
        <f>IFERROR(IF(VLOOKUP(_xlfn.CONCAT($G$32,$G39),Controles!$B$8:$N$37,8,FALSE)=0,"",VLOOKUP(_xlfn.CONCAT($G$32,$G39),Controles!$B$8:$N$37,8,FALSE)),"")</f>
        <v/>
      </c>
      <c r="K39" s="258" t="str">
        <f>IFERROR(VLOOKUP(IFERROR(IF(VLOOKUP(_xlfn.CONCAT($G$32,$G39),Controles!$B$8:$N$37,8,FALSE)=0,"",VLOOKUP(_xlfn.CONCAT($G$32,$G39),Controles!$B$8:$N$37,8,FALSE)),""),'Tablas de validación'!$B$39:$C$41,2,FALSE)+VLOOKUP(IFERROR(IF(VLOOKUP(_xlfn.CONCAT($G$32,$G39),Controles!$B$8:$N$37,9,FALSE)=0,"",VLOOKUP(_xlfn.CONCAT($G$32,$G39),Controles!$B$8:$N$37,9,FALSE)),""),'Tablas de validación'!$D$39:$E$40,2,FALSE),"")</f>
        <v/>
      </c>
      <c r="M39" s="258">
        <v>7</v>
      </c>
      <c r="N39" s="257" t="str">
        <f t="shared" si="14"/>
        <v/>
      </c>
      <c r="O39" s="257" t="str">
        <f t="shared" si="10"/>
        <v/>
      </c>
      <c r="P39" s="88" t="str">
        <f>IFERROR(IF(VLOOKUP(_xlfn.CONCAT($M$32,$M39),Controles!$B$8:$N$37,8,FALSE)=0,"",VLOOKUP(_xlfn.CONCAT($M$32,$M39),Controles!$B$8:$N$37,8,FALSE)),"")</f>
        <v/>
      </c>
      <c r="Q39" s="258" t="str">
        <f>IFERROR(VLOOKUP(IFERROR(IF(VLOOKUP(_xlfn.CONCAT($M$32,$M39),Controles!$B$8:$N$37,8,FALSE)=0,"",VLOOKUP(_xlfn.CONCAT($M$32,$M39),Controles!$B$8:$N$37,8,FALSE)),""),'Tablas de validación'!$B$39:$C$41,2,FALSE)+VLOOKUP(IFERROR(IF(VLOOKUP(_xlfn.CONCAT($M$32,$M39),Controles!$B$8:$N$37,9,FALSE)=0,"",VLOOKUP(_xlfn.CONCAT($M$32,$G39),Controles!$B$8:$N$37,9,FALSE)),""),'Tablas de validación'!$D$39:$E$40,2,FALSE),"")</f>
        <v/>
      </c>
      <c r="S39" s="258">
        <v>7</v>
      </c>
      <c r="T39" s="257" t="str">
        <f t="shared" si="15"/>
        <v/>
      </c>
      <c r="U39" s="257" t="str">
        <f t="shared" si="16"/>
        <v/>
      </c>
      <c r="V39" s="88" t="str">
        <f>IFERROR(IF(VLOOKUP(_xlfn.CONCAT($S$32,$S39),Controles!$B$8:$N$37,8,FALSE)=0,"",VLOOKUP(_xlfn.CONCAT($S$32,$S39),Controles!$B$8:$N$37,8,FALSE)),"")</f>
        <v/>
      </c>
      <c r="W39" s="258" t="str">
        <f>IFERROR(VLOOKUP(IFERROR(IF(VLOOKUP(_xlfn.CONCAT($S$32,$S39),Controles!$B$8:$N$37,8,FALSE)=0,"",VLOOKUP(_xlfn.CONCAT($S$32,$S39),Controles!$B$8:$N$37,8,FALSE)),""),'Tablas de validación'!$B$39:$C$41,2,FALSE)+VLOOKUP(IFERROR(IF(VLOOKUP(_xlfn.CONCAT($S$32,$M39),Controles!$B$8:$N$37,9,FALSE)=0,"",VLOOKUP(_xlfn.CONCAT($S$32,$G39),Controles!$B$8:$N$37,9,FALSE)),""),'Tablas de validación'!$D$39:$E$40,2,FALSE),"")</f>
        <v/>
      </c>
    </row>
    <row r="40" spans="1:23" x14ac:dyDescent="0.3">
      <c r="A40" s="258">
        <v>8</v>
      </c>
      <c r="B40" s="257" t="str">
        <f t="shared" si="12"/>
        <v/>
      </c>
      <c r="C40" s="257" t="str">
        <f t="shared" si="8"/>
        <v/>
      </c>
      <c r="D40" s="88" t="str">
        <f>IFERROR(IF(VLOOKUP(_xlfn.CONCAT($A$32,$A40),Controles!$B$8:$N$37,8,FALSE)=0,"",VLOOKUP(_xlfn.CONCAT($A$32,$A40),Controles!$B$8:$N$37,8,FALSE)),"")</f>
        <v/>
      </c>
      <c r="E40" s="258" t="str">
        <f>IFERROR(VLOOKUP(IFERROR(IF(VLOOKUP(_xlfn.CONCAT($A$32,$A40),Controles!$B$8:$N$37,8,FALSE)=0,"",VLOOKUP(_xlfn.CONCAT($A$32,$A40),Controles!$B$8:$N$37,8,FALSE)),""),'Tablas de validación'!$B$39:$C$41,2,FALSE)+VLOOKUP(IFERROR(IF(VLOOKUP(_xlfn.CONCAT($A$32,$A40),Controles!$B$8:$N$37,9,FALSE)=0,"",VLOOKUP(_xlfn.CONCAT($A$32,$A40),Controles!$B$8:$N$37,9,FALSE)),""),'Tablas de validación'!$D$39:$E$40,2,FALSE),"")</f>
        <v/>
      </c>
      <c r="G40" s="258">
        <v>8</v>
      </c>
      <c r="H40" s="257" t="str">
        <f t="shared" si="13"/>
        <v/>
      </c>
      <c r="I40" s="257" t="str">
        <f t="shared" si="9"/>
        <v/>
      </c>
      <c r="J40" s="88" t="str">
        <f>IFERROR(IF(VLOOKUP(_xlfn.CONCAT($G$32,$G40),Controles!$B$8:$N$37,8,FALSE)=0,"",VLOOKUP(_xlfn.CONCAT($G$32,$G40),Controles!$B$8:$N$37,8,FALSE)),"")</f>
        <v/>
      </c>
      <c r="K40" s="258" t="str">
        <f>IFERROR(VLOOKUP(IFERROR(IF(VLOOKUP(_xlfn.CONCAT($G$32,$G40),Controles!$B$8:$N$37,8,FALSE)=0,"",VLOOKUP(_xlfn.CONCAT($G$32,$G40),Controles!$B$8:$N$37,8,FALSE)),""),'Tablas de validación'!$B$39:$C$41,2,FALSE)+VLOOKUP(IFERROR(IF(VLOOKUP(_xlfn.CONCAT($G$32,$G40),Controles!$B$8:$N$37,9,FALSE)=0,"",VLOOKUP(_xlfn.CONCAT($G$32,$G40),Controles!$B$8:$N$37,9,FALSE)),""),'Tablas de validación'!$D$39:$E$40,2,FALSE),"")</f>
        <v/>
      </c>
      <c r="M40" s="258">
        <v>8</v>
      </c>
      <c r="N40" s="257" t="str">
        <f t="shared" si="14"/>
        <v/>
      </c>
      <c r="O40" s="257" t="str">
        <f t="shared" si="10"/>
        <v/>
      </c>
      <c r="P40" s="88" t="str">
        <f>IFERROR(IF(VLOOKUP(_xlfn.CONCAT($M$32,$M40),Controles!$B$8:$N$37,8,FALSE)=0,"",VLOOKUP(_xlfn.CONCAT($M$32,$M40),Controles!$B$8:$N$37,8,FALSE)),"")</f>
        <v/>
      </c>
      <c r="Q40" s="258" t="str">
        <f>IFERROR(VLOOKUP(IFERROR(IF(VLOOKUP(_xlfn.CONCAT($M$32,$M40),Controles!$B$8:$N$37,8,FALSE)=0,"",VLOOKUP(_xlfn.CONCAT($M$32,$M40),Controles!$B$8:$N$37,8,FALSE)),""),'Tablas de validación'!$B$39:$C$41,2,FALSE)+VLOOKUP(IFERROR(IF(VLOOKUP(_xlfn.CONCAT($M$32,$M40),Controles!$B$8:$N$37,9,FALSE)=0,"",VLOOKUP(_xlfn.CONCAT($M$32,$G40),Controles!$B$8:$N$37,9,FALSE)),""),'Tablas de validación'!$D$39:$E$40,2,FALSE),"")</f>
        <v/>
      </c>
      <c r="S40" s="258">
        <v>8</v>
      </c>
      <c r="T40" s="257" t="str">
        <f t="shared" si="15"/>
        <v/>
      </c>
      <c r="U40" s="257" t="str">
        <f t="shared" si="16"/>
        <v/>
      </c>
      <c r="V40" s="88" t="str">
        <f>IFERROR(IF(VLOOKUP(_xlfn.CONCAT($S$32,$S40),Controles!$B$8:$N$37,8,FALSE)=0,"",VLOOKUP(_xlfn.CONCAT($S$32,$S40),Controles!$B$8:$N$37,8,FALSE)),"")</f>
        <v/>
      </c>
      <c r="W40" s="258" t="str">
        <f>IFERROR(VLOOKUP(IFERROR(IF(VLOOKUP(_xlfn.CONCAT($S$32,$S40),Controles!$B$8:$N$37,8,FALSE)=0,"",VLOOKUP(_xlfn.CONCAT($S$32,$S40),Controles!$B$8:$N$37,8,FALSE)),""),'Tablas de validación'!$B$39:$C$41,2,FALSE)+VLOOKUP(IFERROR(IF(VLOOKUP(_xlfn.CONCAT($S$32,$M40),Controles!$B$8:$N$37,9,FALSE)=0,"",VLOOKUP(_xlfn.CONCAT($S$32,$G40),Controles!$B$8:$N$37,9,FALSE)),""),'Tablas de validación'!$D$39:$E$40,2,FALSE),"")</f>
        <v/>
      </c>
    </row>
    <row r="41" spans="1:23" x14ac:dyDescent="0.3">
      <c r="A41" s="258">
        <v>9</v>
      </c>
      <c r="B41" s="257" t="str">
        <f t="shared" si="12"/>
        <v/>
      </c>
      <c r="C41" s="257" t="str">
        <f t="shared" si="8"/>
        <v/>
      </c>
      <c r="D41" s="88" t="str">
        <f>IFERROR(IF(VLOOKUP(_xlfn.CONCAT($A$32,$A41),Controles!$B$8:$N$37,8,FALSE)=0,"",VLOOKUP(_xlfn.CONCAT($A$32,$A41),Controles!$B$8:$N$37,8,FALSE)),"")</f>
        <v/>
      </c>
      <c r="E41" s="258" t="str">
        <f>IFERROR(VLOOKUP(IFERROR(IF(VLOOKUP(_xlfn.CONCAT($A$32,$A41),Controles!$B$8:$N$37,8,FALSE)=0,"",VLOOKUP(_xlfn.CONCAT($A$32,$A41),Controles!$B$8:$N$37,8,FALSE)),""),'Tablas de validación'!$B$39:$C$41,2,FALSE)+VLOOKUP(IFERROR(IF(VLOOKUP(_xlfn.CONCAT($A$32,$A41),Controles!$B$8:$N$37,9,FALSE)=0,"",VLOOKUP(_xlfn.CONCAT($A$32,$A41),Controles!$B$8:$N$37,9,FALSE)),""),'Tablas de validación'!$D$39:$E$40,2,FALSE),"")</f>
        <v/>
      </c>
      <c r="G41" s="258">
        <v>9</v>
      </c>
      <c r="H41" s="257" t="str">
        <f t="shared" si="13"/>
        <v/>
      </c>
      <c r="I41" s="257" t="str">
        <f t="shared" si="9"/>
        <v/>
      </c>
      <c r="J41" s="88" t="str">
        <f>IFERROR(IF(VLOOKUP(_xlfn.CONCAT($G$32,$G41),Controles!$B$8:$N$37,8,FALSE)=0,"",VLOOKUP(_xlfn.CONCAT($G$32,$G41),Controles!$B$8:$N$37,8,FALSE)),"")</f>
        <v/>
      </c>
      <c r="K41" s="258" t="str">
        <f>IFERROR(VLOOKUP(IFERROR(IF(VLOOKUP(_xlfn.CONCAT($G$32,$G41),Controles!$B$8:$N$37,8,FALSE)=0,"",VLOOKUP(_xlfn.CONCAT($G$32,$G41),Controles!$B$8:$N$37,8,FALSE)),""),'Tablas de validación'!$B$39:$C$41,2,FALSE)+VLOOKUP(IFERROR(IF(VLOOKUP(_xlfn.CONCAT($G$32,$G41),Controles!$B$8:$N$37,9,FALSE)=0,"",VLOOKUP(_xlfn.CONCAT($G$32,$G41),Controles!$B$8:$N$37,9,FALSE)),""),'Tablas de validación'!$D$39:$E$40,2,FALSE),"")</f>
        <v/>
      </c>
      <c r="M41" s="258">
        <v>9</v>
      </c>
      <c r="N41" s="257" t="str">
        <f t="shared" si="14"/>
        <v/>
      </c>
      <c r="O41" s="257" t="str">
        <f t="shared" si="10"/>
        <v/>
      </c>
      <c r="P41" s="88" t="str">
        <f>IFERROR(IF(VLOOKUP(_xlfn.CONCAT($M$32,$M41),Controles!$B$8:$N$37,8,FALSE)=0,"",VLOOKUP(_xlfn.CONCAT($M$32,$M41),Controles!$B$8:$N$37,8,FALSE)),"")</f>
        <v/>
      </c>
      <c r="Q41" s="258" t="str">
        <f>IFERROR(VLOOKUP(IFERROR(IF(VLOOKUP(_xlfn.CONCAT($M$32,$M41),Controles!$B$8:$N$37,8,FALSE)=0,"",VLOOKUP(_xlfn.CONCAT($M$32,$M41),Controles!$B$8:$N$37,8,FALSE)),""),'Tablas de validación'!$B$39:$C$41,2,FALSE)+VLOOKUP(IFERROR(IF(VLOOKUP(_xlfn.CONCAT($M$32,$M41),Controles!$B$8:$N$37,9,FALSE)=0,"",VLOOKUP(_xlfn.CONCAT($M$32,$G41),Controles!$B$8:$N$37,9,FALSE)),""),'Tablas de validación'!$D$39:$E$40,2,FALSE),"")</f>
        <v/>
      </c>
      <c r="S41" s="258">
        <v>9</v>
      </c>
      <c r="T41" s="257" t="str">
        <f t="shared" si="15"/>
        <v/>
      </c>
      <c r="U41" s="257" t="str">
        <f t="shared" si="16"/>
        <v/>
      </c>
      <c r="V41" s="88" t="str">
        <f>IFERROR(IF(VLOOKUP(_xlfn.CONCAT($S$32,$S41),Controles!$B$8:$N$37,8,FALSE)=0,"",VLOOKUP(_xlfn.CONCAT($S$32,$S41),Controles!$B$8:$N$37,8,FALSE)),"")</f>
        <v/>
      </c>
      <c r="W41" s="258" t="str">
        <f>IFERROR(VLOOKUP(IFERROR(IF(VLOOKUP(_xlfn.CONCAT($S$32,$S41),Controles!$B$8:$N$37,8,FALSE)=0,"",VLOOKUP(_xlfn.CONCAT($S$32,$S41),Controles!$B$8:$N$37,8,FALSE)),""),'Tablas de validación'!$B$39:$C$41,2,FALSE)+VLOOKUP(IFERROR(IF(VLOOKUP(_xlfn.CONCAT($S$32,$M41),Controles!$B$8:$N$37,9,FALSE)=0,"",VLOOKUP(_xlfn.CONCAT($S$32,$G41),Controles!$B$8:$N$37,9,FALSE)),""),'Tablas de validación'!$D$39:$E$40,2,FALSE),"")</f>
        <v/>
      </c>
    </row>
    <row r="42" spans="1:23" x14ac:dyDescent="0.3">
      <c r="A42" s="258">
        <v>10</v>
      </c>
      <c r="B42" s="257" t="str">
        <f>IF(OR(D42="Preventivo",D42="detectivo"),B41-(B41*E42),B41)</f>
        <v/>
      </c>
      <c r="C42" s="257" t="str">
        <f>IF(D42="Correctivo",C41-(C41*E42),C41)</f>
        <v/>
      </c>
      <c r="D42" s="88" t="str">
        <f>IFERROR(IF(VLOOKUP(_xlfn.CONCAT($A$32,$A42),Controles!$B$8:$N$37,8,FALSE)=0,"",VLOOKUP(_xlfn.CONCAT($A$32,$A42),Controles!$B$8:$N$37,8,FALSE)),"")</f>
        <v/>
      </c>
      <c r="E42" s="258" t="str">
        <f>IFERROR(VLOOKUP(IFERROR(IF(VLOOKUP(_xlfn.CONCAT($A$32,$A42),Controles!$B$8:$N$37,8,FALSE)=0,"",VLOOKUP(_xlfn.CONCAT($A$32,$A42),Controles!$B$8:$N$37,8,FALSE)),""),'Tablas de validación'!$B$39:$C$41,2,FALSE)+VLOOKUP(IFERROR(IF(VLOOKUP(_xlfn.CONCAT($A$32,$A42),Controles!$B$8:$N$37,9,FALSE)=0,"",VLOOKUP(_xlfn.CONCAT($A$32,$A42),Controles!$B$8:$N$37,9,FALSE)),""),'Tablas de validación'!$D$39:$E$40,2,FALSE),"")</f>
        <v/>
      </c>
      <c r="G42" s="258">
        <v>10</v>
      </c>
      <c r="H42" s="257" t="str">
        <f>IF(OR(J42="Preventivo",J42="detectivo"),H41-(H41*K42),H41)</f>
        <v/>
      </c>
      <c r="I42" s="257" t="str">
        <f>IF(J42="Correctivo",I41-(I41*K42),I41)</f>
        <v/>
      </c>
      <c r="J42" s="88" t="str">
        <f>IFERROR(IF(VLOOKUP(_xlfn.CONCAT($G$32,$G42),Controles!$B$8:$N$37,8,FALSE)=0,"",VLOOKUP(_xlfn.CONCAT($G$32,$G42),Controles!$B$8:$N$37,8,FALSE)),"")</f>
        <v/>
      </c>
      <c r="K42" s="258" t="str">
        <f>IFERROR(VLOOKUP(IFERROR(IF(VLOOKUP(_xlfn.CONCAT($G$32,$G42),Controles!$B$8:$N$37,8,FALSE)=0,"",VLOOKUP(_xlfn.CONCAT($G$32,$G42),Controles!$B$8:$N$37,8,FALSE)),""),'Tablas de validación'!$B$39:$C$41,2,FALSE)+VLOOKUP(IFERROR(IF(VLOOKUP(_xlfn.CONCAT($G$32,$G42),Controles!$B$8:$N$37,9,FALSE)=0,"",VLOOKUP(_xlfn.CONCAT($G$32,$G42),Controles!$B$8:$N$37,9,FALSE)),""),'Tablas de validación'!$D$39:$E$40,2,FALSE),"")</f>
        <v/>
      </c>
      <c r="M42" s="258">
        <v>10</v>
      </c>
      <c r="N42" s="257" t="str">
        <f>IF(OR(P42="Preventivo",P42="detectivo"),N41-(N41*Q42),N41)</f>
        <v/>
      </c>
      <c r="O42" s="257" t="str">
        <f>IF(P42="Correctivo",O41-(O41*Q42),O41)</f>
        <v/>
      </c>
      <c r="P42" s="88" t="str">
        <f>IFERROR(IF(VLOOKUP(_xlfn.CONCAT($M$32,$M42),Controles!$B$8:$N$37,8,FALSE)=0,"",VLOOKUP(_xlfn.CONCAT($M$32,$M42),Controles!$B$8:$N$37,8,FALSE)),"")</f>
        <v/>
      </c>
      <c r="Q42" s="258" t="str">
        <f>IFERROR(VLOOKUP(IFERROR(IF(VLOOKUP(_xlfn.CONCAT($M$32,$M42),Controles!$B$8:$N$37,8,FALSE)=0,"",VLOOKUP(_xlfn.CONCAT($M$32,$M42),Controles!$B$8:$N$37,8,FALSE)),""),'Tablas de validación'!$B$39:$C$41,2,FALSE)+VLOOKUP(IFERROR(IF(VLOOKUP(_xlfn.CONCAT($M$32,$M42),Controles!$B$8:$N$37,9,FALSE)=0,"",VLOOKUP(_xlfn.CONCAT($M$32,$G42),Controles!$B$8:$N$37,9,FALSE)),""),'Tablas de validación'!$D$39:$E$40,2,FALSE),"")</f>
        <v/>
      </c>
      <c r="S42" s="258">
        <v>10</v>
      </c>
      <c r="T42" s="257" t="str">
        <f>IF(OR(V42="Preventivo",V42="detectivo"),T41-(T41*W42),T41)</f>
        <v/>
      </c>
      <c r="U42" s="257" t="str">
        <f>IF(V42="Correctivo",U41-(U41*W42),U41)</f>
        <v/>
      </c>
      <c r="V42" s="88" t="str">
        <f>IFERROR(IF(VLOOKUP(_xlfn.CONCAT($S$32,$S42),Controles!$B$8:$N$37,8,FALSE)=0,"",VLOOKUP(_xlfn.CONCAT($S$32,$S42),Controles!$B$8:$N$37,8,FALSE)),"")</f>
        <v/>
      </c>
      <c r="W42" s="258" t="str">
        <f>IFERROR(VLOOKUP(IFERROR(IF(VLOOKUP(_xlfn.CONCAT($S$32,$S42),Controles!$B$8:$N$37,8,FALSE)=0,"",VLOOKUP(_xlfn.CONCAT($S$32,$S42),Controles!$B$8:$N$37,8,FALSE)),""),'Tablas de validación'!$B$39:$C$41,2,FALSE)+VLOOKUP(IFERROR(IF(VLOOKUP(_xlfn.CONCAT($S$32,$M42),Controles!$B$8:$N$37,9,FALSE)=0,"",VLOOKUP(_xlfn.CONCAT($S$32,$G42),Controles!$B$8:$N$37,9,FALSE)),""),'Tablas de validación'!$D$39:$E$40,2,FALSE),"")</f>
        <v/>
      </c>
    </row>
    <row r="43" spans="1:23" x14ac:dyDescent="0.3">
      <c r="A43" s="88" t="str">
        <f>_xlfn.CONCAT("Residual ",A32)</f>
        <v>Residual 0</v>
      </c>
      <c r="B43" s="258" t="e">
        <f>VLOOKUP(IFERROR(IF(B42="",0,IF(B42&lt;=0.2,5,IF(AND(B42&gt;0.2,B42&lt;=0.4),4,IF(AND(B42&gt;0.4,B42&lt;=0.6),3,IF(AND(B42&gt;0.6,B42&lt;=0.8),2,1))))),""),Hoja2!$F$3:$K$7,4,FALSE)</f>
        <v>#N/A</v>
      </c>
      <c r="C43" s="258" t="e">
        <f>VLOOKUP(IFERROR(IF(C42="",0,IF(C42&lt;=0.2,1,IF(AND(C42&gt;0.2,C42&lt;=0.4),2,IF(AND(C42&gt;0.4,C42&lt;=0.6),3,IF(AND(C42&gt;0.6,C42&lt;=0.8),4,5))))),""),Hoja2!$A$3:$D$7,4,FALSE)</f>
        <v>#N/A</v>
      </c>
      <c r="D43" s="243" t="str">
        <f>IFERROR(VLOOKUP(B43,Hoja2!$S$4:$X$8,MATCH(C43,Hoja2!$S$3:$X$3,0),0),"")</f>
        <v/>
      </c>
      <c r="E43" s="259"/>
      <c r="G43" s="88" t="str">
        <f>_xlfn.CONCAT("Residual ",G32)</f>
        <v>Residual 0</v>
      </c>
      <c r="H43" s="258" t="e">
        <f>VLOOKUP(IFERROR(IF(H42="",0,IF(H42&lt;=0.2,5,IF(AND(H42&gt;0.2,H42&lt;=0.4),4,IF(AND(H42&gt;0.4,H42&lt;=0.6),3,IF(AND(H42&gt;0.6,H42&lt;=0.8),2,1))))),""),Hoja2!$F$3:$K$7,4,FALSE)</f>
        <v>#N/A</v>
      </c>
      <c r="I43" s="258" t="e">
        <f>VLOOKUP(IFERROR(IF(I42="",0,IF(I42&lt;=0.2,1,IF(AND(I42&gt;0.2,I42&lt;=0.4),2,IF(AND(I42&gt;0.4,I42&lt;=0.6),3,IF(AND(I42&gt;0.6,I42&lt;=0.8),4,5))))),""),Hoja2!$A$3:$D$7,4,FALSE)</f>
        <v>#N/A</v>
      </c>
      <c r="J43" s="243" t="str">
        <f>IFERROR(VLOOKUP(H43,Hoja2!$S$4:$X$8,MATCH(I43,Hoja2!$S$3:$X$3,0),0),"")</f>
        <v/>
      </c>
      <c r="K43" s="259"/>
      <c r="M43" s="88" t="str">
        <f>_xlfn.CONCAT("Residual ",M32)</f>
        <v>Residual 0</v>
      </c>
      <c r="N43" s="258" t="e">
        <f>VLOOKUP(IFERROR(IF(N42="",0,IF(N42&lt;=0.2,5,IF(AND(N42&gt;0.2,N42&lt;=0.4),4,IF(AND(N42&gt;0.4,N42&lt;=0.6),3,IF(AND(N42&gt;0.6,N42&lt;=0.8),2,1))))),""),Hoja2!$F$3:$K$7,4,FALSE)</f>
        <v>#N/A</v>
      </c>
      <c r="O43" s="258" t="e">
        <f>VLOOKUP(IFERROR(IF(O42="",0,IF(O42&lt;=0.2,1,IF(AND(O42&gt;0.2,O42&lt;=0.4),2,IF(AND(O42&gt;0.4,O42&lt;=0.6),3,IF(AND(O42&gt;0.6,O42&lt;=0.8),4,5))))),""),Hoja2!$A$3:$D$7,4,FALSE)</f>
        <v>#N/A</v>
      </c>
      <c r="P43" s="243" t="str">
        <f>IFERROR(VLOOKUP(N43,Hoja2!$S$4:$X$8,MATCH(O43,Hoja2!$S$3:$X$3,0),0),"")</f>
        <v/>
      </c>
      <c r="Q43" s="259"/>
      <c r="S43" s="88" t="str">
        <f>_xlfn.CONCAT("Residual ",S32)</f>
        <v>Residual 0</v>
      </c>
      <c r="T43" s="258" t="e">
        <f>VLOOKUP(IFERROR(IF(T42="",0,IF(T42&lt;=0.2,5,IF(AND(T42&gt;0.2,T42&lt;=0.4),4,IF(AND(T42&gt;0.4,T42&lt;=0.6),3,IF(AND(T42&gt;0.6,T42&lt;=0.8),2,1))))),""),Hoja2!$F$3:$K$7,4,FALSE)</f>
        <v>#N/A</v>
      </c>
      <c r="U43" s="258" t="e">
        <f>VLOOKUP(IFERROR(IF(U42="",0,IF(U42&lt;=0.2,1,IF(AND(U42&gt;0.2,U42&lt;=0.4),2,IF(AND(U42&gt;0.4,U42&lt;=0.6),3,IF(AND(U42&gt;0.6,U42&lt;=0.8),4,5))))),""),Hoja2!$A$3:$D$7,4,FALSE)</f>
        <v>#N/A</v>
      </c>
      <c r="V43" s="243" t="str">
        <f>IFERROR(VLOOKUP(T43,Hoja2!$S$4:$X$8,MATCH(U43,Hoja2!$S$3:$X$3,0),0),"")</f>
        <v/>
      </c>
      <c r="W43" s="259"/>
    </row>
    <row r="45" spans="1:23" x14ac:dyDescent="0.3">
      <c r="B45" s="88" t="s">
        <v>164</v>
      </c>
      <c r="C45" s="88" t="s">
        <v>177</v>
      </c>
      <c r="H45" s="88" t="s">
        <v>164</v>
      </c>
      <c r="I45" s="88" t="s">
        <v>177</v>
      </c>
      <c r="N45" s="88" t="s">
        <v>164</v>
      </c>
      <c r="O45" s="88" t="s">
        <v>177</v>
      </c>
      <c r="T45" s="88" t="s">
        <v>164</v>
      </c>
      <c r="U45" s="88" t="s">
        <v>177</v>
      </c>
    </row>
    <row r="46" spans="1:23" x14ac:dyDescent="0.3">
      <c r="A46" s="88">
        <f>'Identificación de Riesgos'!A16</f>
        <v>0</v>
      </c>
      <c r="B46" s="257" t="str">
        <f>IFERROR(VLOOKUP(A46,'Identificación de Riesgos'!$A$8:$Y$18,14,FALSE),"")</f>
        <v/>
      </c>
      <c r="C46" s="257" t="str">
        <f>IFERROR(VLOOKUP(A46,'Identificación de Riesgos'!$A$8:$Y$18,22,FALSE),"")</f>
        <v/>
      </c>
      <c r="D46" s="258" t="s">
        <v>274</v>
      </c>
      <c r="E46" s="258" t="s">
        <v>275</v>
      </c>
      <c r="G46" s="88">
        <f>'Identificación de Riesgos'!A17</f>
        <v>0</v>
      </c>
      <c r="H46" s="257" t="str">
        <f>IFERROR(VLOOKUP(G46,'Identificación de Riesgos'!$A$8:$Y$18,14,FALSE),"")</f>
        <v/>
      </c>
      <c r="I46" s="257" t="str">
        <f>IFERROR(VLOOKUP(G46,'Identificación de Riesgos'!$A$8:$Y$18,22,FALSE),"")</f>
        <v/>
      </c>
      <c r="J46" s="258" t="s">
        <v>274</v>
      </c>
      <c r="K46" s="258" t="s">
        <v>275</v>
      </c>
      <c r="M46" s="88">
        <f>'Identificación de Riesgos'!A18</f>
        <v>0</v>
      </c>
      <c r="N46" s="257" t="str">
        <f>IFERROR(VLOOKUP(M46,'Identificación de Riesgos'!$A$8:$Y$18,14,FALSE),"")</f>
        <v/>
      </c>
      <c r="O46" s="257" t="str">
        <f>IFERROR(VLOOKUP(M46,'Identificación de Riesgos'!$A$8:$Y$18,22,FALSE),"")</f>
        <v/>
      </c>
      <c r="P46" s="258" t="s">
        <v>274</v>
      </c>
      <c r="Q46" s="258" t="s">
        <v>275</v>
      </c>
      <c r="S46" s="88">
        <f>'Identificación de Riesgos'!A19</f>
        <v>0</v>
      </c>
      <c r="T46" s="257" t="str">
        <f>IFERROR(VLOOKUP(S46,'Identificación de Riesgos'!$A$8:$Y$19,14,FALSE),"")</f>
        <v/>
      </c>
      <c r="U46" s="257" t="str">
        <f>IFERROR(VLOOKUP(S46,'Identificación de Riesgos'!$A$8:$Y$19,22,FALSE),"")</f>
        <v/>
      </c>
      <c r="V46" s="258" t="s">
        <v>274</v>
      </c>
      <c r="W46" s="258" t="s">
        <v>275</v>
      </c>
    </row>
    <row r="47" spans="1:23" x14ac:dyDescent="0.3">
      <c r="A47" s="258">
        <v>1</v>
      </c>
      <c r="B47" s="257" t="str">
        <f>IF(OR(D47="Preventivo",D47="detectivo"),B46-(B46*E47),B46)</f>
        <v/>
      </c>
      <c r="C47" s="257" t="str">
        <f>IF(D47="Correctivo",C46-(C46*E47),C46)</f>
        <v/>
      </c>
      <c r="D47" s="88" t="str">
        <f>IFERROR(IF(VLOOKUP(_xlfn.CONCAT($A$46,$A47),Controles!$B$8:$N$37,8,FALSE)=0,"",VLOOKUP(_xlfn.CONCAT($A$46,$A47),Controles!$B$8:$N$37,8,FALSE)),"")</f>
        <v/>
      </c>
      <c r="E47" s="258" t="str">
        <f>IFERROR(VLOOKUP(IFERROR(IF(VLOOKUP(_xlfn.CONCAT($A$46,$A47),Controles!$B$8:$N$37,8,FALSE)=0,"",VLOOKUP(_xlfn.CONCAT($A$46,$A47),Controles!$B$8:$N$37,8,FALSE)),""),'Tablas de validación'!$B$39:$C$41,2,FALSE)+VLOOKUP(IFERROR(IF(VLOOKUP(_xlfn.CONCAT($A$46,$A47),Controles!$B$8:$N$37,9,FALSE)=0,"",VLOOKUP(_xlfn.CONCAT($A$46,$A47),Controles!$B$8:$N$37,9,FALSE)),""),'Tablas de validación'!$D$39:$E$40,2,FALSE),"")</f>
        <v/>
      </c>
      <c r="G47" s="258">
        <v>1</v>
      </c>
      <c r="H47" s="257" t="str">
        <f>IF(OR(J47="Preventivo",J47="detectivo"),H46-(H46*K47),H46)</f>
        <v/>
      </c>
      <c r="I47" s="257" t="str">
        <f>IF(J47="Correctivo",I46-(I46*K47),I46)</f>
        <v/>
      </c>
      <c r="J47" s="88" t="str">
        <f>IFERROR(IF(VLOOKUP(_xlfn.CONCAT($G$46,$G47),Controles!$B$8:$N$37,8,FALSE)=0,"",VLOOKUP(_xlfn.CONCAT($G$46,$G47),Controles!$B$8:$N$37,8,FALSE)),"")</f>
        <v/>
      </c>
      <c r="K47" s="258" t="str">
        <f>IFERROR(VLOOKUP(IFERROR(IF(VLOOKUP(_xlfn.CONCAT($G$46,$G47),Controles!$B$8:$N$37,8,FALSE)=0,"",VLOOKUP(_xlfn.CONCAT($G$46,$G47),Controles!$B$8:$N$37,8,FALSE)),""),'Tablas de validación'!$B$39:$C$41,2,FALSE)+VLOOKUP(IFERROR(IF(VLOOKUP(_xlfn.CONCAT($G$46,$G47),Controles!$B$8:$N$37,9,FALSE)=0,"",VLOOKUP(_xlfn.CONCAT($G$46,$G47),Controles!$B$8:$N$37,9,FALSE)),""),'Tablas de validación'!$D$39:$E$40,2,FALSE),"")</f>
        <v/>
      </c>
      <c r="M47" s="258">
        <v>1</v>
      </c>
      <c r="N47" s="257" t="str">
        <f>IF(OR(P47="Preventivo",P47="detectivo"),N46-(N46*Q47),N46)</f>
        <v/>
      </c>
      <c r="O47" s="257" t="str">
        <f>IF(P47="Correctivo",O46-(O46*Q47),O46)</f>
        <v/>
      </c>
      <c r="P47" s="88" t="str">
        <f>IFERROR(IF(VLOOKUP(_xlfn.CONCAT($M$46,$M47),Controles!$B$8:$N$37,8,FALSE)=0,"",VLOOKUP(_xlfn.CONCAT($M$46,$M47),Controles!$B$8:$N$37,8,FALSE)),"")</f>
        <v/>
      </c>
      <c r="Q47" s="258" t="str">
        <f>IFERROR(VLOOKUP(IFERROR(IF(VLOOKUP(_xlfn.CONCAT($M$46,$M47),Controles!$B$8:$N$37,8,FALSE)=0,"",VLOOKUP(_xlfn.CONCAT($M$46,$M47),Controles!$B$8:$N$37,8,FALSE)),""),'Tablas de validación'!$B$39:$C$41,2,FALSE)+VLOOKUP(IFERROR(IF(VLOOKUP(_xlfn.CONCAT($M$46,$M47),Controles!$B$8:$N$37,9,FALSE)=0,"",VLOOKUP(_xlfn.CONCAT($M$46,$G47),Controles!$B$8:$N$37,9,FALSE)),""),'Tablas de validación'!$D$39:$E$40,2,FALSE),"")</f>
        <v/>
      </c>
      <c r="S47" s="258">
        <v>1</v>
      </c>
      <c r="T47" s="257" t="str">
        <f>IF(OR(V47="Preventivo",V47="detectivo"),T46-(T46*W47),T46)</f>
        <v/>
      </c>
      <c r="U47" s="257" t="str">
        <f>IF(V47="Correctivo",U46-(U46*W47),U46)</f>
        <v/>
      </c>
      <c r="V47" s="88" t="str">
        <f>IFERROR(IF(VLOOKUP(_xlfn.CONCAT($S$46,$S47),Controles!$B$8:$N$37,8,FALSE)=0,"",VLOOKUP(_xlfn.CONCAT($S$46,$S47),Controles!$B$8:$N$37,8,FALSE)),"")</f>
        <v/>
      </c>
      <c r="W47" s="258" t="str">
        <f>IFERROR(VLOOKUP(IFERROR(IF(VLOOKUP(_xlfn.CONCAT($S$46,$S47),Controles!$B$8:$N$37,8,FALSE)=0,"",VLOOKUP(_xlfn.CONCAT($S$46,$S47),Controles!$B$8:$N$37,8,FALSE)),""),'Tablas de validación'!$B$39:$C$41,2,FALSE)+VLOOKUP(IFERROR(IF(VLOOKUP(_xlfn.CONCAT($S$46,$M47),Controles!$B$8:$N$37,9,FALSE)=0,"",VLOOKUP(_xlfn.CONCAT($S$46,$G47),Controles!$B$8:$N$37,9,FALSE)),""),'Tablas de validación'!$D$39:$E$40,2,FALSE),"")</f>
        <v/>
      </c>
    </row>
    <row r="48" spans="1:23" x14ac:dyDescent="0.3">
      <c r="A48" s="258">
        <v>2</v>
      </c>
      <c r="B48" s="257" t="str">
        <f>IF(OR(D48="Preventivo",D48="detectivo"),B47-(B47*E48),B47)</f>
        <v/>
      </c>
      <c r="C48" s="257" t="str">
        <f t="shared" ref="C48:C55" si="17">IF(D48="Correctivo",C47-(C47*E48),C47)</f>
        <v/>
      </c>
      <c r="D48" s="88" t="str">
        <f>IFERROR(IF(VLOOKUP(_xlfn.CONCAT($A$46,$A48),Controles!$B$8:$N$37,8,FALSE)=0,"",VLOOKUP(_xlfn.CONCAT($A$46,$A48),Controles!$B$8:$N$37,8,FALSE)),"")</f>
        <v/>
      </c>
      <c r="E48" s="258" t="str">
        <f>IFERROR(VLOOKUP(IFERROR(IF(VLOOKUP(_xlfn.CONCAT($A$46,$A48),Controles!$B$8:$N$37,8,FALSE)=0,"",VLOOKUP(_xlfn.CONCAT($A$46,$A48),Controles!$B$8:$N$37,8,FALSE)),""),'Tablas de validación'!$B$39:$C$41,2,FALSE)+VLOOKUP(IFERROR(IF(VLOOKUP(_xlfn.CONCAT($A$46,$A48),Controles!$B$8:$N$37,9,FALSE)=0,"",VLOOKUP(_xlfn.CONCAT($A$46,$A48),Controles!$B$8:$N$37,9,FALSE)),""),'Tablas de validación'!$D$39:$E$40,2,FALSE),"")</f>
        <v/>
      </c>
      <c r="G48" s="258">
        <v>2</v>
      </c>
      <c r="H48" s="257" t="str">
        <f>IF(OR(J48="Preventivo",J48="detectivo"),H47-(H47*K48),H47)</f>
        <v/>
      </c>
      <c r="I48" s="257" t="str">
        <f t="shared" ref="I48:I55" si="18">IF(J48="Correctivo",I47-(I47*K48),I47)</f>
        <v/>
      </c>
      <c r="J48" s="88" t="str">
        <f>IFERROR(IF(VLOOKUP(_xlfn.CONCAT($G$46,$G48),Controles!$B$8:$N$37,8,FALSE)=0,"",VLOOKUP(_xlfn.CONCAT($G$46,$G48),Controles!$B$8:$N$37,8,FALSE)),"")</f>
        <v/>
      </c>
      <c r="K48" s="258" t="str">
        <f>IFERROR(VLOOKUP(IFERROR(IF(VLOOKUP(_xlfn.CONCAT($G$46,$G48),Controles!$B$8:$N$37,8,FALSE)=0,"",VLOOKUP(_xlfn.CONCAT($G$46,$G48),Controles!$B$8:$N$37,8,FALSE)),""),'Tablas de validación'!$B$39:$C$41,2,FALSE)+VLOOKUP(IFERROR(IF(VLOOKUP(_xlfn.CONCAT($G$46,$G48),Controles!$B$8:$N$37,9,FALSE)=0,"",VLOOKUP(_xlfn.CONCAT($G$46,$G48),Controles!$B$8:$N$37,9,FALSE)),""),'Tablas de validación'!$D$39:$E$40,2,FALSE),"")</f>
        <v/>
      </c>
      <c r="M48" s="258">
        <v>2</v>
      </c>
      <c r="N48" s="257" t="str">
        <f>IF(OR(P48="Preventivo",P48="detectivo"),N47-(N47*Q48),N47)</f>
        <v/>
      </c>
      <c r="O48" s="257" t="str">
        <f t="shared" ref="O48:O55" si="19">IF(P48="Correctivo",O47-(O47*Q48),O47)</f>
        <v/>
      </c>
      <c r="P48" s="88" t="str">
        <f>IFERROR(IF(VLOOKUP(_xlfn.CONCAT($M$46,$M48),Controles!$B$8:$N$37,8,FALSE)=0,"",VLOOKUP(_xlfn.CONCAT($M$46,$M48),Controles!$B$8:$N$37,8,FALSE)),"")</f>
        <v/>
      </c>
      <c r="Q48" s="258" t="str">
        <f>IFERROR(VLOOKUP(IFERROR(IF(VLOOKUP(_xlfn.CONCAT($M$46,$M48),Controles!$B$8:$N$37,8,FALSE)=0,"",VLOOKUP(_xlfn.CONCAT($M$46,$M48),Controles!$B$8:$N$37,8,FALSE)),""),'Tablas de validación'!$B$39:$C$41,2,FALSE)+VLOOKUP(IFERROR(IF(VLOOKUP(_xlfn.CONCAT($M$46,$M48),Controles!$B$8:$N$37,9,FALSE)=0,"",VLOOKUP(_xlfn.CONCAT($M$46,$G48),Controles!$B$8:$N$37,9,FALSE)),""),'Tablas de validación'!$D$39:$E$40,2,FALSE),"")</f>
        <v/>
      </c>
      <c r="S48" s="258">
        <v>2</v>
      </c>
      <c r="T48" s="257" t="str">
        <f>IF(OR(V48="Preventivo",V48="detectivo"),T47-(T47*W48),T47)</f>
        <v/>
      </c>
      <c r="U48" s="257" t="str">
        <f t="shared" ref="U48" si="20">IF(V48="Correctivo",U47-(U47*W48),U47)</f>
        <v/>
      </c>
      <c r="V48" s="88" t="str">
        <f>IFERROR(IF(VLOOKUP(_xlfn.CONCAT($S$46,$S48),Controles!$B$8:$N$37,8,FALSE)=0,"",VLOOKUP(_xlfn.CONCAT($S$46,$S48),Controles!$B$8:$N$37,8,FALSE)),"")</f>
        <v/>
      </c>
      <c r="W48" s="258" t="str">
        <f>IFERROR(VLOOKUP(IFERROR(IF(VLOOKUP(_xlfn.CONCAT($S$46,$S48),Controles!$B$8:$N$37,8,FALSE)=0,"",VLOOKUP(_xlfn.CONCAT($S$46,$S48),Controles!$B$8:$N$37,8,FALSE)),""),'Tablas de validación'!$B$39:$C$41,2,FALSE)+VLOOKUP(IFERROR(IF(VLOOKUP(_xlfn.CONCAT($S$46,$M48),Controles!$B$8:$N$37,9,FALSE)=0,"",VLOOKUP(_xlfn.CONCAT($S$46,$G48),Controles!$B$8:$N$37,9,FALSE)),""),'Tablas de validación'!$D$39:$E$40,2,FALSE),"")</f>
        <v/>
      </c>
    </row>
    <row r="49" spans="1:23" x14ac:dyDescent="0.3">
      <c r="A49" s="258">
        <v>3</v>
      </c>
      <c r="B49" s="257" t="str">
        <f>IF(OR(D49="Preventivo",D49="detectivo"),B48-(B48*E49),B48)</f>
        <v/>
      </c>
      <c r="C49" s="257" t="str">
        <f t="shared" si="17"/>
        <v/>
      </c>
      <c r="D49" s="88" t="str">
        <f>IFERROR(IF(VLOOKUP(_xlfn.CONCAT($A$46,$A49),Controles!$B$8:$N$37,8,FALSE)=0,"",VLOOKUP(_xlfn.CONCAT($A$46,$A49),Controles!$B$8:$N$37,8,FALSE)),"")</f>
        <v/>
      </c>
      <c r="E49" s="258" t="str">
        <f>IFERROR(VLOOKUP(IFERROR(IF(VLOOKUP(_xlfn.CONCAT($A$46,$A49),Controles!$B$8:$N$37,8,FALSE)=0,"",VLOOKUP(_xlfn.CONCAT($A$46,$A49),Controles!$B$8:$N$37,8,FALSE)),""),'Tablas de validación'!$B$39:$C$41,2,FALSE)+VLOOKUP(IFERROR(IF(VLOOKUP(_xlfn.CONCAT($A$46,$A49),Controles!$B$8:$N$37,9,FALSE)=0,"",VLOOKUP(_xlfn.CONCAT($A$46,$A49),Controles!$B$8:$N$37,9,FALSE)),""),'Tablas de validación'!$D$39:$E$40,2,FALSE),"")</f>
        <v/>
      </c>
      <c r="G49" s="258">
        <v>3</v>
      </c>
      <c r="H49" s="257" t="str">
        <f>IF(OR(J49="Preventivo",J49="detectivo"),H48-(H48*K49),H48)</f>
        <v/>
      </c>
      <c r="I49" s="257" t="str">
        <f t="shared" si="18"/>
        <v/>
      </c>
      <c r="J49" s="88" t="str">
        <f>IFERROR(IF(VLOOKUP(_xlfn.CONCAT($G$46,$G49),Controles!$B$8:$N$37,8,FALSE)=0,"",VLOOKUP(_xlfn.CONCAT($G$46,$G49),Controles!$B$8:$N$37,8,FALSE)),"")</f>
        <v/>
      </c>
      <c r="K49" s="258" t="str">
        <f>IFERROR(VLOOKUP(IFERROR(IF(VLOOKUP(_xlfn.CONCAT($G$46,$G49),Controles!$B$8:$N$37,8,FALSE)=0,"",VLOOKUP(_xlfn.CONCAT($G$46,$G49),Controles!$B$8:$N$37,8,FALSE)),""),'Tablas de validación'!$B$39:$C$41,2,FALSE)+VLOOKUP(IFERROR(IF(VLOOKUP(_xlfn.CONCAT($G$46,$G49),Controles!$B$8:$N$37,9,FALSE)=0,"",VLOOKUP(_xlfn.CONCAT($G$46,$G49),Controles!$B$8:$N$37,9,FALSE)),""),'Tablas de validación'!$D$39:$E$40,2,FALSE),"")</f>
        <v/>
      </c>
      <c r="M49" s="258">
        <v>3</v>
      </c>
      <c r="N49" s="257" t="str">
        <f>IF(OR(P49="Preventivo",P49="detectivo"),N48-(N48*Q49),N48)</f>
        <v/>
      </c>
      <c r="O49" s="257" t="str">
        <f t="shared" si="19"/>
        <v/>
      </c>
      <c r="P49" s="88" t="str">
        <f>IFERROR(IF(VLOOKUP(_xlfn.CONCAT($M$46,$M49),Controles!$B$8:$N$37,8,FALSE)=0,"",VLOOKUP(_xlfn.CONCAT($M$46,$M49),Controles!$B$8:$N$37,8,FALSE)),"")</f>
        <v/>
      </c>
      <c r="Q49" s="258" t="str">
        <f>IFERROR(VLOOKUP(IFERROR(IF(VLOOKUP(_xlfn.CONCAT($M$46,$M49),Controles!$B$8:$N$37,8,FALSE)=0,"",VLOOKUP(_xlfn.CONCAT($M$46,$M49),Controles!$B$8:$N$37,8,FALSE)),""),'Tablas de validación'!$B$39:$C$41,2,FALSE)+VLOOKUP(IFERROR(IF(VLOOKUP(_xlfn.CONCAT($M$46,$M49),Controles!$B$8:$N$37,9,FALSE)=0,"",VLOOKUP(_xlfn.CONCAT($M$46,$G49),Controles!$B$8:$N$37,9,FALSE)),""),'Tablas de validación'!$D$39:$E$40,2,FALSE),"")</f>
        <v/>
      </c>
      <c r="S49" s="258">
        <v>3</v>
      </c>
      <c r="T49" s="257" t="str">
        <f>IF(OR(V49="Preventivo",V49="detectivo"),T48-(T48*W49),T48)</f>
        <v/>
      </c>
      <c r="U49" s="257" t="str">
        <f>IF(V49="Correctivo",U48-(U48*W49),U48)</f>
        <v/>
      </c>
      <c r="V49" s="88" t="str">
        <f>IFERROR(IF(VLOOKUP(_xlfn.CONCAT($S$46,$S49),Controles!$B$8:$N$37,8,FALSE)=0,"",VLOOKUP(_xlfn.CONCAT($S$46,$S49),Controles!$B$8:$N$37,8,FALSE)),"")</f>
        <v/>
      </c>
      <c r="W49" s="258" t="str">
        <f>IFERROR(VLOOKUP(IFERROR(IF(VLOOKUP(_xlfn.CONCAT($S$46,$S49),Controles!$B$8:$N$37,8,FALSE)=0,"",VLOOKUP(_xlfn.CONCAT($S$46,$S49),Controles!$B$8:$N$37,8,FALSE)),""),'Tablas de validación'!$B$39:$C$41,2,FALSE)+VLOOKUP(IFERROR(IF(VLOOKUP(_xlfn.CONCAT($S$46,$M49),Controles!$B$8:$N$37,9,FALSE)=0,"",VLOOKUP(_xlfn.CONCAT($S$46,$G49),Controles!$B$8:$N$37,9,FALSE)),""),'Tablas de validación'!$D$39:$E$40,2,FALSE),"")</f>
        <v/>
      </c>
    </row>
    <row r="50" spans="1:23" x14ac:dyDescent="0.3">
      <c r="A50" s="258">
        <v>4</v>
      </c>
      <c r="B50" s="257" t="str">
        <f t="shared" ref="B50:B55" si="21">IF(OR(D50="Preventivo",D50="detectivo"),B49-(B49*E50),B49)</f>
        <v/>
      </c>
      <c r="C50" s="257" t="str">
        <f t="shared" si="17"/>
        <v/>
      </c>
      <c r="D50" s="88" t="str">
        <f>IFERROR(IF(VLOOKUP(_xlfn.CONCAT($A$46,$A50),Controles!$B$8:$N$37,8,FALSE)=0,"",VLOOKUP(_xlfn.CONCAT($A$46,$A50),Controles!$B$8:$N$37,8,FALSE)),"")</f>
        <v/>
      </c>
      <c r="E50" s="258" t="str">
        <f>IFERROR(VLOOKUP(IFERROR(IF(VLOOKUP(_xlfn.CONCAT($A$46,$A50),Controles!$B$8:$N$37,8,FALSE)=0,"",VLOOKUP(_xlfn.CONCAT($A$46,$A50),Controles!$B$8:$N$37,8,FALSE)),""),'Tablas de validación'!$B$39:$C$41,2,FALSE)+VLOOKUP(IFERROR(IF(VLOOKUP(_xlfn.CONCAT($A$46,$A50),Controles!$B$8:$N$37,9,FALSE)=0,"",VLOOKUP(_xlfn.CONCAT($A$46,$A50),Controles!$B$8:$N$37,9,FALSE)),""),'Tablas de validación'!$D$39:$E$40,2,FALSE),"")</f>
        <v/>
      </c>
      <c r="G50" s="258">
        <v>4</v>
      </c>
      <c r="H50" s="257" t="str">
        <f t="shared" ref="H50:H55" si="22">IF(OR(J50="Preventivo",J50="detectivo"),H49-(H49*K50),H49)</f>
        <v/>
      </c>
      <c r="I50" s="257" t="str">
        <f t="shared" si="18"/>
        <v/>
      </c>
      <c r="J50" s="88" t="str">
        <f>IFERROR(IF(VLOOKUP(_xlfn.CONCAT($G$46,$G50),Controles!$B$8:$N$37,8,FALSE)=0,"",VLOOKUP(_xlfn.CONCAT($G$46,$G50),Controles!$B$8:$N$37,8,FALSE)),"")</f>
        <v/>
      </c>
      <c r="K50" s="258" t="str">
        <f>IFERROR(VLOOKUP(IFERROR(IF(VLOOKUP(_xlfn.CONCAT($G$46,$G50),Controles!$B$8:$N$37,8,FALSE)=0,"",VLOOKUP(_xlfn.CONCAT($G$46,$G50),Controles!$B$8:$N$37,8,FALSE)),""),'Tablas de validación'!$B$39:$C$41,2,FALSE)+VLOOKUP(IFERROR(IF(VLOOKUP(_xlfn.CONCAT($G$46,$G50),Controles!$B$8:$N$37,9,FALSE)=0,"",VLOOKUP(_xlfn.CONCAT($G$46,$G50),Controles!$B$8:$N$37,9,FALSE)),""),'Tablas de validación'!$D$39:$E$40,2,FALSE),"")</f>
        <v/>
      </c>
      <c r="M50" s="258">
        <v>4</v>
      </c>
      <c r="N50" s="257" t="str">
        <f t="shared" ref="N50:N55" si="23">IF(OR(P50="Preventivo",P50="detectivo"),N49-(N49*Q50),N49)</f>
        <v/>
      </c>
      <c r="O50" s="257" t="str">
        <f t="shared" si="19"/>
        <v/>
      </c>
      <c r="P50" s="88" t="str">
        <f>IFERROR(IF(VLOOKUP(_xlfn.CONCAT($M$46,$M50),Controles!$B$8:$N$37,8,FALSE)=0,"",VLOOKUP(_xlfn.CONCAT($M$46,$M50),Controles!$B$8:$N$37,8,FALSE)),"")</f>
        <v/>
      </c>
      <c r="Q50" s="258" t="str">
        <f>IFERROR(VLOOKUP(IFERROR(IF(VLOOKUP(_xlfn.CONCAT($M$46,$M50),Controles!$B$8:$N$37,8,FALSE)=0,"",VLOOKUP(_xlfn.CONCAT($M$46,$M50),Controles!$B$8:$N$37,8,FALSE)),""),'Tablas de validación'!$B$39:$C$41,2,FALSE)+VLOOKUP(IFERROR(IF(VLOOKUP(_xlfn.CONCAT($M$46,$M50),Controles!$B$8:$N$37,9,FALSE)=0,"",VLOOKUP(_xlfn.CONCAT($M$46,$G50),Controles!$B$8:$N$37,9,FALSE)),""),'Tablas de validación'!$D$39:$E$40,2,FALSE),"")</f>
        <v/>
      </c>
      <c r="S50" s="258">
        <v>4</v>
      </c>
      <c r="T50" s="257" t="str">
        <f t="shared" ref="T50:T55" si="24">IF(OR(V50="Preventivo",V50="detectivo"),T49-(T49*W50),T49)</f>
        <v/>
      </c>
      <c r="U50" s="257" t="str">
        <f t="shared" ref="U50:U55" si="25">IF(V50="Correctivo",U49-(U49*W50),U49)</f>
        <v/>
      </c>
      <c r="V50" s="88" t="str">
        <f>IFERROR(IF(VLOOKUP(_xlfn.CONCAT($S$46,$S50),Controles!$B$8:$N$37,8,FALSE)=0,"",VLOOKUP(_xlfn.CONCAT($S$46,$S50),Controles!$B$8:$N$37,8,FALSE)),"")</f>
        <v/>
      </c>
      <c r="W50" s="258" t="str">
        <f>IFERROR(VLOOKUP(IFERROR(IF(VLOOKUP(_xlfn.CONCAT($S$46,$S50),Controles!$B$8:$N$37,8,FALSE)=0,"",VLOOKUP(_xlfn.CONCAT($S$46,$S50),Controles!$B$8:$N$37,8,FALSE)),""),'Tablas de validación'!$B$39:$C$41,2,FALSE)+VLOOKUP(IFERROR(IF(VLOOKUP(_xlfn.CONCAT($S$46,$M50),Controles!$B$8:$N$37,9,FALSE)=0,"",VLOOKUP(_xlfn.CONCAT($S$46,$G50),Controles!$B$8:$N$37,9,FALSE)),""),'Tablas de validación'!$D$39:$E$40,2,FALSE),"")</f>
        <v/>
      </c>
    </row>
    <row r="51" spans="1:23" x14ac:dyDescent="0.3">
      <c r="A51" s="258">
        <v>5</v>
      </c>
      <c r="B51" s="257" t="str">
        <f t="shared" si="21"/>
        <v/>
      </c>
      <c r="C51" s="257" t="str">
        <f t="shared" si="17"/>
        <v/>
      </c>
      <c r="D51" s="88" t="str">
        <f>IFERROR(IF(VLOOKUP(_xlfn.CONCAT($A$46,$A51),Controles!$B$8:$N$37,8,FALSE)=0,"",VLOOKUP(_xlfn.CONCAT($A$46,$A51),Controles!$B$8:$N$37,8,FALSE)),"")</f>
        <v/>
      </c>
      <c r="E51" s="258" t="str">
        <f>IFERROR(VLOOKUP(IFERROR(IF(VLOOKUP(_xlfn.CONCAT($A$46,$A51),Controles!$B$8:$N$37,8,FALSE)=0,"",VLOOKUP(_xlfn.CONCAT($A$46,$A51),Controles!$B$8:$N$37,8,FALSE)),""),'Tablas de validación'!$B$39:$C$41,2,FALSE)+VLOOKUP(IFERROR(IF(VLOOKUP(_xlfn.CONCAT($A$46,$A51),Controles!$B$8:$N$37,9,FALSE)=0,"",VLOOKUP(_xlfn.CONCAT($A$46,$A51),Controles!$B$8:$N$37,9,FALSE)),""),'Tablas de validación'!$D$39:$E$40,2,FALSE),"")</f>
        <v/>
      </c>
      <c r="G51" s="258">
        <v>5</v>
      </c>
      <c r="H51" s="257" t="str">
        <f t="shared" si="22"/>
        <v/>
      </c>
      <c r="I51" s="257" t="str">
        <f t="shared" si="18"/>
        <v/>
      </c>
      <c r="J51" s="88" t="str">
        <f>IFERROR(IF(VLOOKUP(_xlfn.CONCAT($G$46,$G51),Controles!$B$8:$N$37,8,FALSE)=0,"",VLOOKUP(_xlfn.CONCAT($G$46,$G51),Controles!$B$8:$N$37,8,FALSE)),"")</f>
        <v/>
      </c>
      <c r="K51" s="258" t="str">
        <f>IFERROR(VLOOKUP(IFERROR(IF(VLOOKUP(_xlfn.CONCAT($G$46,$G51),Controles!$B$8:$N$37,8,FALSE)=0,"",VLOOKUP(_xlfn.CONCAT($G$46,$G51),Controles!$B$8:$N$37,8,FALSE)),""),'Tablas de validación'!$B$39:$C$41,2,FALSE)+VLOOKUP(IFERROR(IF(VLOOKUP(_xlfn.CONCAT($G$46,$G51),Controles!$B$8:$N$37,9,FALSE)=0,"",VLOOKUP(_xlfn.CONCAT($G$46,$G51),Controles!$B$8:$N$37,9,FALSE)),""),'Tablas de validación'!$D$39:$E$40,2,FALSE),"")</f>
        <v/>
      </c>
      <c r="M51" s="258">
        <v>5</v>
      </c>
      <c r="N51" s="257" t="str">
        <f t="shared" si="23"/>
        <v/>
      </c>
      <c r="O51" s="257" t="str">
        <f t="shared" si="19"/>
        <v/>
      </c>
      <c r="P51" s="88" t="str">
        <f>IFERROR(IF(VLOOKUP(_xlfn.CONCAT($M$46,$M51),Controles!$B$8:$N$37,8,FALSE)=0,"",VLOOKUP(_xlfn.CONCAT($M$46,$M51),Controles!$B$8:$N$37,8,FALSE)),"")</f>
        <v/>
      </c>
      <c r="Q51" s="258" t="str">
        <f>IFERROR(VLOOKUP(IFERROR(IF(VLOOKUP(_xlfn.CONCAT($M$46,$M51),Controles!$B$8:$N$37,8,FALSE)=0,"",VLOOKUP(_xlfn.CONCAT($M$46,$M51),Controles!$B$8:$N$37,8,FALSE)),""),'Tablas de validación'!$B$39:$C$41,2,FALSE)+VLOOKUP(IFERROR(IF(VLOOKUP(_xlfn.CONCAT($M$46,$M51),Controles!$B$8:$N$37,9,FALSE)=0,"",VLOOKUP(_xlfn.CONCAT($M$46,$G51),Controles!$B$8:$N$37,9,FALSE)),""),'Tablas de validación'!$D$39:$E$40,2,FALSE),"")</f>
        <v/>
      </c>
      <c r="S51" s="258">
        <v>5</v>
      </c>
      <c r="T51" s="257" t="str">
        <f t="shared" si="24"/>
        <v/>
      </c>
      <c r="U51" s="257" t="str">
        <f t="shared" si="25"/>
        <v/>
      </c>
      <c r="V51" s="88" t="str">
        <f>IFERROR(IF(VLOOKUP(_xlfn.CONCAT($S$46,$S51),Controles!$B$8:$N$37,8,FALSE)=0,"",VLOOKUP(_xlfn.CONCAT($S$46,$S51),Controles!$B$8:$N$37,8,FALSE)),"")</f>
        <v/>
      </c>
      <c r="W51" s="258" t="str">
        <f>IFERROR(VLOOKUP(IFERROR(IF(VLOOKUP(_xlfn.CONCAT($S$46,$S51),Controles!$B$8:$N$37,8,FALSE)=0,"",VLOOKUP(_xlfn.CONCAT($S$46,$S51),Controles!$B$8:$N$37,8,FALSE)),""),'Tablas de validación'!$B$39:$C$41,2,FALSE)+VLOOKUP(IFERROR(IF(VLOOKUP(_xlfn.CONCAT($S$46,$M51),Controles!$B$8:$N$37,9,FALSE)=0,"",VLOOKUP(_xlfn.CONCAT($S$46,$G51),Controles!$B$8:$N$37,9,FALSE)),""),'Tablas de validación'!$D$39:$E$40,2,FALSE),"")</f>
        <v/>
      </c>
    </row>
    <row r="52" spans="1:23" x14ac:dyDescent="0.3">
      <c r="A52" s="258">
        <v>6</v>
      </c>
      <c r="B52" s="257" t="str">
        <f t="shared" si="21"/>
        <v/>
      </c>
      <c r="C52" s="257" t="str">
        <f t="shared" si="17"/>
        <v/>
      </c>
      <c r="D52" s="88" t="str">
        <f>IFERROR(IF(VLOOKUP(_xlfn.CONCAT($A$46,$A52),Controles!$B$8:$N$37,8,FALSE)=0,"",VLOOKUP(_xlfn.CONCAT($A$46,$A52),Controles!$B$8:$N$37,8,FALSE)),"")</f>
        <v/>
      </c>
      <c r="E52" s="258" t="str">
        <f>IFERROR(VLOOKUP(IFERROR(IF(VLOOKUP(_xlfn.CONCAT($A$46,$A52),Controles!$B$8:$N$37,8,FALSE)=0,"",VLOOKUP(_xlfn.CONCAT($A$46,$A52),Controles!$B$8:$N$37,8,FALSE)),""),'Tablas de validación'!$B$39:$C$41,2,FALSE)+VLOOKUP(IFERROR(IF(VLOOKUP(_xlfn.CONCAT($A$46,$A52),Controles!$B$8:$N$37,9,FALSE)=0,"",VLOOKUP(_xlfn.CONCAT($A$46,$A52),Controles!$B$8:$N$37,9,FALSE)),""),'Tablas de validación'!$D$39:$E$40,2,FALSE),"")</f>
        <v/>
      </c>
      <c r="G52" s="258">
        <v>6</v>
      </c>
      <c r="H52" s="257" t="str">
        <f t="shared" si="22"/>
        <v/>
      </c>
      <c r="I52" s="257" t="str">
        <f t="shared" si="18"/>
        <v/>
      </c>
      <c r="J52" s="88" t="str">
        <f>IFERROR(IF(VLOOKUP(_xlfn.CONCAT($G$46,$G52),Controles!$B$8:$N$37,8,FALSE)=0,"",VLOOKUP(_xlfn.CONCAT($G$46,$G52),Controles!$B$8:$N$37,8,FALSE)),"")</f>
        <v/>
      </c>
      <c r="K52" s="258" t="str">
        <f>IFERROR(VLOOKUP(IFERROR(IF(VLOOKUP(_xlfn.CONCAT($G$46,$G52),Controles!$B$8:$N$37,8,FALSE)=0,"",VLOOKUP(_xlfn.CONCAT($G$46,$G52),Controles!$B$8:$N$37,8,FALSE)),""),'Tablas de validación'!$B$39:$C$41,2,FALSE)+VLOOKUP(IFERROR(IF(VLOOKUP(_xlfn.CONCAT($G$46,$G52),Controles!$B$8:$N$37,9,FALSE)=0,"",VLOOKUP(_xlfn.CONCAT($G$46,$G52),Controles!$B$8:$N$37,9,FALSE)),""),'Tablas de validación'!$D$39:$E$40,2,FALSE),"")</f>
        <v/>
      </c>
      <c r="M52" s="258">
        <v>6</v>
      </c>
      <c r="N52" s="257" t="str">
        <f t="shared" si="23"/>
        <v/>
      </c>
      <c r="O52" s="257" t="str">
        <f t="shared" si="19"/>
        <v/>
      </c>
      <c r="P52" s="88" t="str">
        <f>IFERROR(IF(VLOOKUP(_xlfn.CONCAT($M$46,$M52),Controles!$B$8:$N$37,8,FALSE)=0,"",VLOOKUP(_xlfn.CONCAT($M$46,$M52),Controles!$B$8:$N$37,8,FALSE)),"")</f>
        <v/>
      </c>
      <c r="Q52" s="258" t="str">
        <f>IFERROR(VLOOKUP(IFERROR(IF(VLOOKUP(_xlfn.CONCAT($M$46,$M52),Controles!$B$8:$N$37,8,FALSE)=0,"",VLOOKUP(_xlfn.CONCAT($M$46,$M52),Controles!$B$8:$N$37,8,FALSE)),""),'Tablas de validación'!$B$39:$C$41,2,FALSE)+VLOOKUP(IFERROR(IF(VLOOKUP(_xlfn.CONCAT($M$46,$M52),Controles!$B$8:$N$37,9,FALSE)=0,"",VLOOKUP(_xlfn.CONCAT($M$46,$G52),Controles!$B$8:$N$37,9,FALSE)),""),'Tablas de validación'!$D$39:$E$40,2,FALSE),"")</f>
        <v/>
      </c>
      <c r="S52" s="258">
        <v>6</v>
      </c>
      <c r="T52" s="257" t="str">
        <f t="shared" si="24"/>
        <v/>
      </c>
      <c r="U52" s="257" t="str">
        <f t="shared" si="25"/>
        <v/>
      </c>
      <c r="V52" s="88" t="str">
        <f>IFERROR(IF(VLOOKUP(_xlfn.CONCAT($S$46,$S52),Controles!$B$8:$N$37,8,FALSE)=0,"",VLOOKUP(_xlfn.CONCAT($S$46,$S52),Controles!$B$8:$N$37,8,FALSE)),"")</f>
        <v/>
      </c>
      <c r="W52" s="258" t="str">
        <f>IFERROR(VLOOKUP(IFERROR(IF(VLOOKUP(_xlfn.CONCAT($S$46,$S52),Controles!$B$8:$N$37,8,FALSE)=0,"",VLOOKUP(_xlfn.CONCAT($S$46,$S52),Controles!$B$8:$N$37,8,FALSE)),""),'Tablas de validación'!$B$39:$C$41,2,FALSE)+VLOOKUP(IFERROR(IF(VLOOKUP(_xlfn.CONCAT($S$46,$M52),Controles!$B$8:$N$37,9,FALSE)=0,"",VLOOKUP(_xlfn.CONCAT($S$46,$G52),Controles!$B$8:$N$37,9,FALSE)),""),'Tablas de validación'!$D$39:$E$40,2,FALSE),"")</f>
        <v/>
      </c>
    </row>
    <row r="53" spans="1:23" x14ac:dyDescent="0.3">
      <c r="A53" s="258">
        <v>7</v>
      </c>
      <c r="B53" s="257" t="str">
        <f t="shared" si="21"/>
        <v/>
      </c>
      <c r="C53" s="257" t="str">
        <f t="shared" si="17"/>
        <v/>
      </c>
      <c r="D53" s="88" t="str">
        <f>IFERROR(IF(VLOOKUP(_xlfn.CONCAT($A$46,$A53),Controles!$B$8:$N$37,8,FALSE)=0,"",VLOOKUP(_xlfn.CONCAT($A$46,$A53),Controles!$B$8:$N$37,8,FALSE)),"")</f>
        <v/>
      </c>
      <c r="E53" s="258" t="str">
        <f>IFERROR(VLOOKUP(IFERROR(IF(VLOOKUP(_xlfn.CONCAT($A$46,$A53),Controles!$B$8:$N$37,8,FALSE)=0,"",VLOOKUP(_xlfn.CONCAT($A$46,$A53),Controles!$B$8:$N$37,8,FALSE)),""),'Tablas de validación'!$B$39:$C$41,2,FALSE)+VLOOKUP(IFERROR(IF(VLOOKUP(_xlfn.CONCAT($A$46,$A53),Controles!$B$8:$N$37,9,FALSE)=0,"",VLOOKUP(_xlfn.CONCAT($A$46,$A53),Controles!$B$8:$N$37,9,FALSE)),""),'Tablas de validación'!$D$39:$E$40,2,FALSE),"")</f>
        <v/>
      </c>
      <c r="G53" s="258">
        <v>7</v>
      </c>
      <c r="H53" s="257" t="str">
        <f t="shared" si="22"/>
        <v/>
      </c>
      <c r="I53" s="257" t="str">
        <f t="shared" si="18"/>
        <v/>
      </c>
      <c r="J53" s="88" t="str">
        <f>IFERROR(IF(VLOOKUP(_xlfn.CONCAT($G$46,$G53),Controles!$B$8:$N$37,8,FALSE)=0,"",VLOOKUP(_xlfn.CONCAT($G$46,$G53),Controles!$B$8:$N$37,8,FALSE)),"")</f>
        <v/>
      </c>
      <c r="K53" s="258" t="str">
        <f>IFERROR(VLOOKUP(IFERROR(IF(VLOOKUP(_xlfn.CONCAT($G$46,$G53),Controles!$B$8:$N$37,8,FALSE)=0,"",VLOOKUP(_xlfn.CONCAT($G$46,$G53),Controles!$B$8:$N$37,8,FALSE)),""),'Tablas de validación'!$B$39:$C$41,2,FALSE)+VLOOKUP(IFERROR(IF(VLOOKUP(_xlfn.CONCAT($G$46,$G53),Controles!$B$8:$N$37,9,FALSE)=0,"",VLOOKUP(_xlfn.CONCAT($G$46,$G53),Controles!$B$8:$N$37,9,FALSE)),""),'Tablas de validación'!$D$39:$E$40,2,FALSE),"")</f>
        <v/>
      </c>
      <c r="M53" s="258">
        <v>7</v>
      </c>
      <c r="N53" s="257" t="str">
        <f t="shared" si="23"/>
        <v/>
      </c>
      <c r="O53" s="257" t="str">
        <f t="shared" si="19"/>
        <v/>
      </c>
      <c r="P53" s="88" t="str">
        <f>IFERROR(IF(VLOOKUP(_xlfn.CONCAT($M$46,$M53),Controles!$B$8:$N$37,8,FALSE)=0,"",VLOOKUP(_xlfn.CONCAT($M$46,$M53),Controles!$B$8:$N$37,8,FALSE)),"")</f>
        <v/>
      </c>
      <c r="Q53" s="258" t="str">
        <f>IFERROR(VLOOKUP(IFERROR(IF(VLOOKUP(_xlfn.CONCAT($M$46,$M53),Controles!$B$8:$N$37,8,FALSE)=0,"",VLOOKUP(_xlfn.CONCAT($M$46,$M53),Controles!$B$8:$N$37,8,FALSE)),""),'Tablas de validación'!$B$39:$C$41,2,FALSE)+VLOOKUP(IFERROR(IF(VLOOKUP(_xlfn.CONCAT($M$46,$M53),Controles!$B$8:$N$37,9,FALSE)=0,"",VLOOKUP(_xlfn.CONCAT($M$46,$G53),Controles!$B$8:$N$37,9,FALSE)),""),'Tablas de validación'!$D$39:$E$40,2,FALSE),"")</f>
        <v/>
      </c>
      <c r="S53" s="258">
        <v>7</v>
      </c>
      <c r="T53" s="257" t="str">
        <f t="shared" si="24"/>
        <v/>
      </c>
      <c r="U53" s="257" t="str">
        <f t="shared" si="25"/>
        <v/>
      </c>
      <c r="V53" s="88" t="str">
        <f>IFERROR(IF(VLOOKUP(_xlfn.CONCAT($S$46,$S53),Controles!$B$8:$N$37,8,FALSE)=0,"",VLOOKUP(_xlfn.CONCAT($S$46,$S53),Controles!$B$8:$N$37,8,FALSE)),"")</f>
        <v/>
      </c>
      <c r="W53" s="258" t="str">
        <f>IFERROR(VLOOKUP(IFERROR(IF(VLOOKUP(_xlfn.CONCAT($S$46,$S53),Controles!$B$8:$N$37,8,FALSE)=0,"",VLOOKUP(_xlfn.CONCAT($S$46,$S53),Controles!$B$8:$N$37,8,FALSE)),""),'Tablas de validación'!$B$39:$C$41,2,FALSE)+VLOOKUP(IFERROR(IF(VLOOKUP(_xlfn.CONCAT($S$46,$M53),Controles!$B$8:$N$37,9,FALSE)=0,"",VLOOKUP(_xlfn.CONCAT($S$46,$G53),Controles!$B$8:$N$37,9,FALSE)),""),'Tablas de validación'!$D$39:$E$40,2,FALSE),"")</f>
        <v/>
      </c>
    </row>
    <row r="54" spans="1:23" x14ac:dyDescent="0.3">
      <c r="A54" s="258">
        <v>8</v>
      </c>
      <c r="B54" s="257" t="str">
        <f t="shared" si="21"/>
        <v/>
      </c>
      <c r="C54" s="257" t="str">
        <f t="shared" si="17"/>
        <v/>
      </c>
      <c r="D54" s="88" t="str">
        <f>IFERROR(IF(VLOOKUP(_xlfn.CONCAT($A$46,$A54),Controles!$B$8:$N$37,8,FALSE)=0,"",VLOOKUP(_xlfn.CONCAT($A$46,$A54),Controles!$B$8:$N$37,8,FALSE)),"")</f>
        <v/>
      </c>
      <c r="E54" s="258" t="str">
        <f>IFERROR(VLOOKUP(IFERROR(IF(VLOOKUP(_xlfn.CONCAT($A$46,$A54),Controles!$B$8:$N$37,8,FALSE)=0,"",VLOOKUP(_xlfn.CONCAT($A$46,$A54),Controles!$B$8:$N$37,8,FALSE)),""),'Tablas de validación'!$B$39:$C$41,2,FALSE)+VLOOKUP(IFERROR(IF(VLOOKUP(_xlfn.CONCAT($A$46,$A54),Controles!$B$8:$N$37,9,FALSE)=0,"",VLOOKUP(_xlfn.CONCAT($A$46,$A54),Controles!$B$8:$N$37,9,FALSE)),""),'Tablas de validación'!$D$39:$E$40,2,FALSE),"")</f>
        <v/>
      </c>
      <c r="G54" s="258">
        <v>8</v>
      </c>
      <c r="H54" s="257" t="str">
        <f t="shared" si="22"/>
        <v/>
      </c>
      <c r="I54" s="257" t="str">
        <f t="shared" si="18"/>
        <v/>
      </c>
      <c r="J54" s="88" t="str">
        <f>IFERROR(IF(VLOOKUP(_xlfn.CONCAT($G$46,$G54),Controles!$B$8:$N$37,8,FALSE)=0,"",VLOOKUP(_xlfn.CONCAT($G$46,$G54),Controles!$B$8:$N$37,8,FALSE)),"")</f>
        <v/>
      </c>
      <c r="K54" s="258" t="str">
        <f>IFERROR(VLOOKUP(IFERROR(IF(VLOOKUP(_xlfn.CONCAT($G$46,$G54),Controles!$B$8:$N$37,8,FALSE)=0,"",VLOOKUP(_xlfn.CONCAT($G$46,$G54),Controles!$B$8:$N$37,8,FALSE)),""),'Tablas de validación'!$B$39:$C$41,2,FALSE)+VLOOKUP(IFERROR(IF(VLOOKUP(_xlfn.CONCAT($G$46,$G54),Controles!$B$8:$N$37,9,FALSE)=0,"",VLOOKUP(_xlfn.CONCAT($G$46,$G54),Controles!$B$8:$N$37,9,FALSE)),""),'Tablas de validación'!$D$39:$E$40,2,FALSE),"")</f>
        <v/>
      </c>
      <c r="M54" s="258">
        <v>8</v>
      </c>
      <c r="N54" s="257" t="str">
        <f t="shared" si="23"/>
        <v/>
      </c>
      <c r="O54" s="257" t="str">
        <f t="shared" si="19"/>
        <v/>
      </c>
      <c r="P54" s="88" t="str">
        <f>IFERROR(IF(VLOOKUP(_xlfn.CONCAT($M$46,$M54),Controles!$B$8:$N$37,8,FALSE)=0,"",VLOOKUP(_xlfn.CONCAT($M$46,$M54),Controles!$B$8:$N$37,8,FALSE)),"")</f>
        <v/>
      </c>
      <c r="Q54" s="258" t="str">
        <f>IFERROR(VLOOKUP(IFERROR(IF(VLOOKUP(_xlfn.CONCAT($M$46,$M54),Controles!$B$8:$N$37,8,FALSE)=0,"",VLOOKUP(_xlfn.CONCAT($M$46,$M54),Controles!$B$8:$N$37,8,FALSE)),""),'Tablas de validación'!$B$39:$C$41,2,FALSE)+VLOOKUP(IFERROR(IF(VLOOKUP(_xlfn.CONCAT($M$46,$M54),Controles!$B$8:$N$37,9,FALSE)=0,"",VLOOKUP(_xlfn.CONCAT($M$46,$G54),Controles!$B$8:$N$37,9,FALSE)),""),'Tablas de validación'!$D$39:$E$40,2,FALSE),"")</f>
        <v/>
      </c>
      <c r="S54" s="258">
        <v>8</v>
      </c>
      <c r="T54" s="257" t="str">
        <f t="shared" si="24"/>
        <v/>
      </c>
      <c r="U54" s="257" t="str">
        <f t="shared" si="25"/>
        <v/>
      </c>
      <c r="V54" s="88" t="str">
        <f>IFERROR(IF(VLOOKUP(_xlfn.CONCAT($S$46,$S54),Controles!$B$8:$N$37,8,FALSE)=0,"",VLOOKUP(_xlfn.CONCAT($S$46,$S54),Controles!$B$8:$N$37,8,FALSE)),"")</f>
        <v/>
      </c>
      <c r="W54" s="258" t="str">
        <f>IFERROR(VLOOKUP(IFERROR(IF(VLOOKUP(_xlfn.CONCAT($S$46,$S54),Controles!$B$8:$N$37,8,FALSE)=0,"",VLOOKUP(_xlfn.CONCAT($S$46,$S54),Controles!$B$8:$N$37,8,FALSE)),""),'Tablas de validación'!$B$39:$C$41,2,FALSE)+VLOOKUP(IFERROR(IF(VLOOKUP(_xlfn.CONCAT($S$46,$M54),Controles!$B$8:$N$37,9,FALSE)=0,"",VLOOKUP(_xlfn.CONCAT($S$46,$G54),Controles!$B$8:$N$37,9,FALSE)),""),'Tablas de validación'!$D$39:$E$40,2,FALSE),"")</f>
        <v/>
      </c>
    </row>
    <row r="55" spans="1:23" x14ac:dyDescent="0.3">
      <c r="A55" s="258">
        <v>9</v>
      </c>
      <c r="B55" s="257" t="str">
        <f t="shared" si="21"/>
        <v/>
      </c>
      <c r="C55" s="257" t="str">
        <f t="shared" si="17"/>
        <v/>
      </c>
      <c r="D55" s="88" t="str">
        <f>IFERROR(IF(VLOOKUP(_xlfn.CONCAT($A$46,$A55),Controles!$B$8:$N$37,8,FALSE)=0,"",VLOOKUP(_xlfn.CONCAT($A$46,$A55),Controles!$B$8:$N$37,8,FALSE)),"")</f>
        <v/>
      </c>
      <c r="E55" s="258" t="str">
        <f>IFERROR(VLOOKUP(IFERROR(IF(VLOOKUP(_xlfn.CONCAT($A$46,$A55),Controles!$B$8:$N$37,8,FALSE)=0,"",VLOOKUP(_xlfn.CONCAT($A$46,$A55),Controles!$B$8:$N$37,8,FALSE)),""),'Tablas de validación'!$B$39:$C$41,2,FALSE)+VLOOKUP(IFERROR(IF(VLOOKUP(_xlfn.CONCAT($A$46,$A55),Controles!$B$8:$N$37,9,FALSE)=0,"",VLOOKUP(_xlfn.CONCAT($A$46,$A55),Controles!$B$8:$N$37,9,FALSE)),""),'Tablas de validación'!$D$39:$E$40,2,FALSE),"")</f>
        <v/>
      </c>
      <c r="G55" s="258">
        <v>9</v>
      </c>
      <c r="H55" s="257" t="str">
        <f t="shared" si="22"/>
        <v/>
      </c>
      <c r="I55" s="257" t="str">
        <f t="shared" si="18"/>
        <v/>
      </c>
      <c r="J55" s="88" t="str">
        <f>IFERROR(IF(VLOOKUP(_xlfn.CONCAT($G$46,$G55),Controles!$B$8:$N$37,8,FALSE)=0,"",VLOOKUP(_xlfn.CONCAT($G$46,$G55),Controles!$B$8:$N$37,8,FALSE)),"")</f>
        <v/>
      </c>
      <c r="K55" s="258" t="str">
        <f>IFERROR(VLOOKUP(IFERROR(IF(VLOOKUP(_xlfn.CONCAT($G$46,$G55),Controles!$B$8:$N$37,8,FALSE)=0,"",VLOOKUP(_xlfn.CONCAT($G$46,$G55),Controles!$B$8:$N$37,8,FALSE)),""),'Tablas de validación'!$B$39:$C$41,2,FALSE)+VLOOKUP(IFERROR(IF(VLOOKUP(_xlfn.CONCAT($G$46,$G55),Controles!$B$8:$N$37,9,FALSE)=0,"",VLOOKUP(_xlfn.CONCAT($G$46,$G55),Controles!$B$8:$N$37,9,FALSE)),""),'Tablas de validación'!$D$39:$E$40,2,FALSE),"")</f>
        <v/>
      </c>
      <c r="M55" s="258">
        <v>9</v>
      </c>
      <c r="N55" s="257" t="str">
        <f t="shared" si="23"/>
        <v/>
      </c>
      <c r="O55" s="257" t="str">
        <f t="shared" si="19"/>
        <v/>
      </c>
      <c r="P55" s="88" t="str">
        <f>IFERROR(IF(VLOOKUP(_xlfn.CONCAT($M$46,$M55),Controles!$B$8:$N$37,8,FALSE)=0,"",VLOOKUP(_xlfn.CONCAT($M$46,$M55),Controles!$B$8:$N$37,8,FALSE)),"")</f>
        <v/>
      </c>
      <c r="Q55" s="258" t="str">
        <f>IFERROR(VLOOKUP(IFERROR(IF(VLOOKUP(_xlfn.CONCAT($M$46,$M55),Controles!$B$8:$N$37,8,FALSE)=0,"",VLOOKUP(_xlfn.CONCAT($M$46,$M55),Controles!$B$8:$N$37,8,FALSE)),""),'Tablas de validación'!$B$39:$C$41,2,FALSE)+VLOOKUP(IFERROR(IF(VLOOKUP(_xlfn.CONCAT($M$46,$M55),Controles!$B$8:$N$37,9,FALSE)=0,"",VLOOKUP(_xlfn.CONCAT($M$46,$G55),Controles!$B$8:$N$37,9,FALSE)),""),'Tablas de validación'!$D$39:$E$40,2,FALSE),"")</f>
        <v/>
      </c>
      <c r="S55" s="258">
        <v>9</v>
      </c>
      <c r="T55" s="257" t="str">
        <f t="shared" si="24"/>
        <v/>
      </c>
      <c r="U55" s="257" t="str">
        <f t="shared" si="25"/>
        <v/>
      </c>
      <c r="V55" s="88" t="str">
        <f>IFERROR(IF(VLOOKUP(_xlfn.CONCAT($S$46,$S55),Controles!$B$8:$N$37,8,FALSE)=0,"",VLOOKUP(_xlfn.CONCAT($S$46,$S55),Controles!$B$8:$N$37,8,FALSE)),"")</f>
        <v/>
      </c>
      <c r="W55" s="258" t="str">
        <f>IFERROR(VLOOKUP(IFERROR(IF(VLOOKUP(_xlfn.CONCAT($S$46,$S55),Controles!$B$8:$N$37,8,FALSE)=0,"",VLOOKUP(_xlfn.CONCAT($S$46,$S55),Controles!$B$8:$N$37,8,FALSE)),""),'Tablas de validación'!$B$39:$C$41,2,FALSE)+VLOOKUP(IFERROR(IF(VLOOKUP(_xlfn.CONCAT($S$46,$M55),Controles!$B$8:$N$37,9,FALSE)=0,"",VLOOKUP(_xlfn.CONCAT($S$46,$G55),Controles!$B$8:$N$37,9,FALSE)),""),'Tablas de validación'!$D$39:$E$40,2,FALSE),"")</f>
        <v/>
      </c>
    </row>
    <row r="56" spans="1:23" x14ac:dyDescent="0.3">
      <c r="A56" s="258">
        <v>10</v>
      </c>
      <c r="B56" s="257" t="str">
        <f>IF(OR(D56="Preventivo",D56="detectivo"),B55-(B55*E56),B55)</f>
        <v/>
      </c>
      <c r="C56" s="257" t="str">
        <f>IF(D56="Correctivo",C55-(C55*E56),C55)</f>
        <v/>
      </c>
      <c r="D56" s="88" t="str">
        <f>IFERROR(IF(VLOOKUP(_xlfn.CONCAT($A$46,$A56),Controles!$B$8:$N$37,8,FALSE)=0,"",VLOOKUP(_xlfn.CONCAT($A$46,$A56),Controles!$B$8:$N$37,8,FALSE)),"")</f>
        <v/>
      </c>
      <c r="E56" s="258" t="str">
        <f>IFERROR(VLOOKUP(IFERROR(IF(VLOOKUP(_xlfn.CONCAT($A$46,$A56),Controles!$B$8:$N$37,8,FALSE)=0,"",VLOOKUP(_xlfn.CONCAT($A$46,$A56),Controles!$B$8:$N$37,8,FALSE)),""),'Tablas de validación'!$B$39:$C$41,2,FALSE)+VLOOKUP(IFERROR(IF(VLOOKUP(_xlfn.CONCAT($A$46,$A56),Controles!$B$8:$N$37,9,FALSE)=0,"",VLOOKUP(_xlfn.CONCAT($A$46,$A56),Controles!$B$8:$N$37,9,FALSE)),""),'Tablas de validación'!$D$39:$E$40,2,FALSE),"")</f>
        <v/>
      </c>
      <c r="G56" s="258">
        <v>10</v>
      </c>
      <c r="H56" s="257" t="str">
        <f>IF(OR(J56="Preventivo",J56="detectivo"),H55-(H55*K56),H55)</f>
        <v/>
      </c>
      <c r="I56" s="257" t="str">
        <f>IF(J56="Correctivo",I55-(I55*K56),I55)</f>
        <v/>
      </c>
      <c r="J56" s="88" t="str">
        <f>IFERROR(IF(VLOOKUP(_xlfn.CONCAT($G$46,$G56),Controles!$B$8:$N$37,8,FALSE)=0,"",VLOOKUP(_xlfn.CONCAT($G$46,$G56),Controles!$B$8:$N$37,8,FALSE)),"")</f>
        <v/>
      </c>
      <c r="K56" s="258" t="str">
        <f>IFERROR(VLOOKUP(IFERROR(IF(VLOOKUP(_xlfn.CONCAT($G$46,$G56),Controles!$B$8:$N$37,8,FALSE)=0,"",VLOOKUP(_xlfn.CONCAT($G$46,$G56),Controles!$B$8:$N$37,8,FALSE)),""),'Tablas de validación'!$B$39:$C$41,2,FALSE)+VLOOKUP(IFERROR(IF(VLOOKUP(_xlfn.CONCAT($G$46,$G56),Controles!$B$8:$N$37,9,FALSE)=0,"",VLOOKUP(_xlfn.CONCAT($G$46,$G56),Controles!$B$8:$N$37,9,FALSE)),""),'Tablas de validación'!$D$39:$E$40,2,FALSE),"")</f>
        <v/>
      </c>
      <c r="M56" s="258">
        <v>10</v>
      </c>
      <c r="N56" s="257" t="str">
        <f>IF(OR(P56="Preventivo",P56="detectivo"),N55-(N55*Q56),N55)</f>
        <v/>
      </c>
      <c r="O56" s="257" t="str">
        <f>IF(P56="Correctivo",O55-(O55*Q56),O55)</f>
        <v/>
      </c>
      <c r="P56" s="88" t="str">
        <f>IFERROR(IF(VLOOKUP(_xlfn.CONCAT($M$46,$M56),Controles!$B$8:$N$37,8,FALSE)=0,"",VLOOKUP(_xlfn.CONCAT($M$46,$M56),Controles!$B$8:$N$37,8,FALSE)),"")</f>
        <v/>
      </c>
      <c r="Q56" s="258" t="str">
        <f>IFERROR(VLOOKUP(IFERROR(IF(VLOOKUP(_xlfn.CONCAT($M$46,$M56),Controles!$B$8:$N$37,8,FALSE)=0,"",VLOOKUP(_xlfn.CONCAT($M$46,$M56),Controles!$B$8:$N$37,8,FALSE)),""),'Tablas de validación'!$B$39:$C$41,2,FALSE)+VLOOKUP(IFERROR(IF(VLOOKUP(_xlfn.CONCAT($M$46,$M56),Controles!$B$8:$N$37,9,FALSE)=0,"",VLOOKUP(_xlfn.CONCAT($M$46,$G56),Controles!$B$8:$N$37,9,FALSE)),""),'Tablas de validación'!$D$39:$E$40,2,FALSE),"")</f>
        <v/>
      </c>
      <c r="S56" s="258">
        <v>10</v>
      </c>
      <c r="T56" s="257" t="str">
        <f>IF(OR(V56="Preventivo",V56="detectivo"),T55-(T55*W56),T55)</f>
        <v/>
      </c>
      <c r="U56" s="257" t="str">
        <f>IF(V56="Correctivo",U55-(U55*W56),U55)</f>
        <v/>
      </c>
      <c r="V56" s="88" t="str">
        <f>IFERROR(IF(VLOOKUP(_xlfn.CONCAT($S$46,$S56),Controles!$B$8:$N$37,8,FALSE)=0,"",VLOOKUP(_xlfn.CONCAT($S$46,$S56),Controles!$B$8:$N$37,8,FALSE)),"")</f>
        <v/>
      </c>
      <c r="W56" s="258" t="str">
        <f>IFERROR(VLOOKUP(IFERROR(IF(VLOOKUP(_xlfn.CONCAT($S$46,$S56),Controles!$B$8:$N$37,8,FALSE)=0,"",VLOOKUP(_xlfn.CONCAT($S$46,$S56),Controles!$B$8:$N$37,8,FALSE)),""),'Tablas de validación'!$B$39:$C$41,2,FALSE)+VLOOKUP(IFERROR(IF(VLOOKUP(_xlfn.CONCAT($S$46,$M56),Controles!$B$8:$N$37,9,FALSE)=0,"",VLOOKUP(_xlfn.CONCAT($S$46,$G56),Controles!$B$8:$N$37,9,FALSE)),""),'Tablas de validación'!$D$39:$E$40,2,FALSE),"")</f>
        <v/>
      </c>
    </row>
    <row r="57" spans="1:23" x14ac:dyDescent="0.3">
      <c r="A57" s="88" t="str">
        <f>_xlfn.CONCAT("Residual ",A46)</f>
        <v>Residual 0</v>
      </c>
      <c r="B57" s="258" t="e">
        <f>VLOOKUP(IFERROR(IF(B56="",0,IF(B56&lt;=0.2,5,IF(AND(B56&gt;0.2,B56&lt;=0.4),4,IF(AND(B56&gt;0.4,B56&lt;=0.6),3,IF(AND(B56&gt;0.6,B56&lt;=0.8),2,1))))),""),Hoja2!$F$3:$K$7,4,FALSE)</f>
        <v>#N/A</v>
      </c>
      <c r="C57" s="258" t="e">
        <f>VLOOKUP(IFERROR(IF(C56="",0,IF(C56&lt;=0.2,1,IF(AND(C56&gt;0.2,C56&lt;=0.4),2,IF(AND(C56&gt;0.4,C56&lt;=0.6),3,IF(AND(C56&gt;0.6,C56&lt;=0.8),4,5))))),""),Hoja2!$A$3:$D$7,4,FALSE)</f>
        <v>#N/A</v>
      </c>
      <c r="D57" s="243" t="str">
        <f>IFERROR(VLOOKUP(B57,Hoja2!$S$4:$X$8,MATCH(C57,Hoja2!$S$3:$X$3,0),0),"")</f>
        <v/>
      </c>
      <c r="E57" s="259"/>
      <c r="G57" s="88" t="str">
        <f>_xlfn.CONCAT("Residual ",G46)</f>
        <v>Residual 0</v>
      </c>
      <c r="H57" s="258" t="e">
        <f>VLOOKUP(IFERROR(IF(H56="",0,IF(H56&lt;=0.2,5,IF(AND(H56&gt;0.2,H56&lt;=0.4),4,IF(AND(H56&gt;0.4,H56&lt;=0.6),3,IF(AND(H56&gt;0.6,H56&lt;=0.8),2,1))))),""),Hoja2!$F$3:$K$7,4,FALSE)</f>
        <v>#N/A</v>
      </c>
      <c r="I57" s="258" t="e">
        <f>VLOOKUP(IFERROR(IF(I56="",0,IF(I56&lt;=0.2,1,IF(AND(I56&gt;0.2,I56&lt;=0.4),2,IF(AND(I56&gt;0.4,I56&lt;=0.6),3,IF(AND(I56&gt;0.6,I56&lt;=0.8),4,5))))),""),Hoja2!$A$3:$D$7,4,FALSE)</f>
        <v>#N/A</v>
      </c>
      <c r="J57" s="243" t="str">
        <f>IFERROR(VLOOKUP(H57,Hoja2!$S$4:$X$8,MATCH(I57,Hoja2!$S$3:$X$3,0),0),"")</f>
        <v/>
      </c>
      <c r="K57" s="259"/>
      <c r="M57" s="88" t="str">
        <f>_xlfn.CONCAT("Residual ",M46)</f>
        <v>Residual 0</v>
      </c>
      <c r="N57" s="258" t="e">
        <f>VLOOKUP(IFERROR(IF(N56="",0,IF(N56&lt;=0.2,5,IF(AND(N56&gt;0.2,N56&lt;=0.4),4,IF(AND(N56&gt;0.4,N56&lt;=0.6),3,IF(AND(N56&gt;0.6,N56&lt;=0.8),2,1))))),""),Hoja2!$F$3:$K$7,4,FALSE)</f>
        <v>#N/A</v>
      </c>
      <c r="O57" s="258" t="e">
        <f>VLOOKUP(IFERROR(IF(O56="",0,IF(O56&lt;=0.2,1,IF(AND(O56&gt;0.2,O56&lt;=0.4),2,IF(AND(O56&gt;0.4,O56&lt;=0.6),3,IF(AND(O56&gt;0.6,O56&lt;=0.8),4,5))))),""),Hoja2!$A$3:$D$7,4,FALSE)</f>
        <v>#N/A</v>
      </c>
      <c r="P57" s="243" t="str">
        <f>IFERROR(VLOOKUP(N57,Hoja2!$S$4:$X$8,MATCH(O57,Hoja2!$S$3:$X$3,0),0),"")</f>
        <v/>
      </c>
      <c r="Q57" s="259"/>
      <c r="S57" s="88" t="str">
        <f>_xlfn.CONCAT("Residual ",S46)</f>
        <v>Residual 0</v>
      </c>
      <c r="T57" s="258" t="e">
        <f>VLOOKUP(IFERROR(IF(T56="",0,IF(T56&lt;=0.2,5,IF(AND(T56&gt;0.2,T56&lt;=0.4),4,IF(AND(T56&gt;0.4,T56&lt;=0.6),3,IF(AND(T56&gt;0.6,T56&lt;=0.8),2,1))))),""),Hoja2!$F$3:$K$7,4,FALSE)</f>
        <v>#N/A</v>
      </c>
      <c r="U57" s="258" t="e">
        <f>VLOOKUP(IFERROR(IF(U56="",0,IF(U56&lt;=0.2,1,IF(AND(U56&gt;0.2,U56&lt;=0.4),2,IF(AND(U56&gt;0.4,U56&lt;=0.6),3,IF(AND(U56&gt;0.6,U56&lt;=0.8),4,5))))),""),Hoja2!$A$3:$D$7,4,FALSE)</f>
        <v>#N/A</v>
      </c>
      <c r="V57" s="243" t="str">
        <f>IFERROR(VLOOKUP(T57,Hoja2!$S$4:$X$8,MATCH(U57,Hoja2!$S$3:$X$3,0),0),"")</f>
        <v/>
      </c>
      <c r="W57" s="259"/>
    </row>
  </sheetData>
  <phoneticPr fontId="66" type="noConversion"/>
  <conditionalFormatting sqref="D29">
    <cfRule type="cellIs" dxfId="105" priority="52" operator="equal">
      <formula>"Extremo"</formula>
    </cfRule>
    <cfRule type="cellIs" dxfId="104" priority="51" operator="equal">
      <formula>"Alto"</formula>
    </cfRule>
    <cfRule type="cellIs" dxfId="103" priority="50" operator="equal">
      <formula>"Moderado"</formula>
    </cfRule>
    <cfRule type="cellIs" dxfId="102" priority="49" operator="equal">
      <formula>"Bajo"</formula>
    </cfRule>
  </conditionalFormatting>
  <conditionalFormatting sqref="D43">
    <cfRule type="cellIs" dxfId="101" priority="31" operator="equal">
      <formula>"Alto"</formula>
    </cfRule>
    <cfRule type="cellIs" dxfId="100" priority="32" operator="equal">
      <formula>"Extremo"</formula>
    </cfRule>
    <cfRule type="cellIs" dxfId="99" priority="30" operator="equal">
      <formula>"Moderado"</formula>
    </cfRule>
    <cfRule type="cellIs" dxfId="98" priority="29" operator="equal">
      <formula>"Bajo"</formula>
    </cfRule>
  </conditionalFormatting>
  <conditionalFormatting sqref="D57">
    <cfRule type="cellIs" dxfId="97" priority="13" operator="equal">
      <formula>"Bajo"</formula>
    </cfRule>
    <cfRule type="cellIs" dxfId="96" priority="14" operator="equal">
      <formula>"Moderado"</formula>
    </cfRule>
    <cfRule type="cellIs" dxfId="95" priority="15" operator="equal">
      <formula>"Alto"</formula>
    </cfRule>
    <cfRule type="cellIs" dxfId="94" priority="16" operator="equal">
      <formula>"Extremo"</formula>
    </cfRule>
  </conditionalFormatting>
  <conditionalFormatting sqref="J29">
    <cfRule type="cellIs" dxfId="93" priority="44" operator="equal">
      <formula>"Extremo"</formula>
    </cfRule>
    <cfRule type="cellIs" dxfId="92" priority="43" operator="equal">
      <formula>"Alto"</formula>
    </cfRule>
    <cfRule type="cellIs" dxfId="91" priority="41" operator="equal">
      <formula>"Bajo"</formula>
    </cfRule>
    <cfRule type="cellIs" dxfId="90" priority="42" operator="equal">
      <formula>"Moderado"</formula>
    </cfRule>
  </conditionalFormatting>
  <conditionalFormatting sqref="J43">
    <cfRule type="cellIs" dxfId="89" priority="25" operator="equal">
      <formula>"Bajo"</formula>
    </cfRule>
    <cfRule type="cellIs" dxfId="88" priority="26" operator="equal">
      <formula>"Moderado"</formula>
    </cfRule>
    <cfRule type="cellIs" dxfId="87" priority="27" operator="equal">
      <formula>"Alto"</formula>
    </cfRule>
    <cfRule type="cellIs" dxfId="86" priority="28" operator="equal">
      <formula>"Extremo"</formula>
    </cfRule>
  </conditionalFormatting>
  <conditionalFormatting sqref="J57">
    <cfRule type="cellIs" dxfId="85" priority="9" operator="equal">
      <formula>"Bajo"</formula>
    </cfRule>
    <cfRule type="cellIs" dxfId="84" priority="10" operator="equal">
      <formula>"Moderado"</formula>
    </cfRule>
    <cfRule type="cellIs" dxfId="83" priority="12" operator="equal">
      <formula>"Extremo"</formula>
    </cfRule>
    <cfRule type="cellIs" dxfId="82" priority="11" operator="equal">
      <formula>"Alto"</formula>
    </cfRule>
  </conditionalFormatting>
  <conditionalFormatting sqref="P29">
    <cfRule type="cellIs" dxfId="81" priority="37" operator="equal">
      <formula>"Bajo"</formula>
    </cfRule>
    <cfRule type="cellIs" dxfId="80" priority="38" operator="equal">
      <formula>"Moderado"</formula>
    </cfRule>
    <cfRule type="cellIs" dxfId="79" priority="39" operator="equal">
      <formula>"Alto"</formula>
    </cfRule>
    <cfRule type="cellIs" dxfId="78" priority="40" operator="equal">
      <formula>"Extremo"</formula>
    </cfRule>
  </conditionalFormatting>
  <conditionalFormatting sqref="P43">
    <cfRule type="cellIs" dxfId="77" priority="24" operator="equal">
      <formula>"Extremo"</formula>
    </cfRule>
    <cfRule type="cellIs" dxfId="76" priority="23" operator="equal">
      <formula>"Alto"</formula>
    </cfRule>
    <cfRule type="cellIs" dxfId="75" priority="22" operator="equal">
      <formula>"Moderado"</formula>
    </cfRule>
    <cfRule type="cellIs" dxfId="74" priority="21" operator="equal">
      <formula>"Bajo"</formula>
    </cfRule>
  </conditionalFormatting>
  <conditionalFormatting sqref="P57">
    <cfRule type="cellIs" dxfId="73" priority="5" operator="equal">
      <formula>"Bajo"</formula>
    </cfRule>
    <cfRule type="cellIs" dxfId="72" priority="6" operator="equal">
      <formula>"Moderado"</formula>
    </cfRule>
    <cfRule type="cellIs" dxfId="71" priority="8" operator="equal">
      <formula>"Extremo"</formula>
    </cfRule>
    <cfRule type="cellIs" dxfId="70" priority="7" operator="equal">
      <formula>"Alto"</formula>
    </cfRule>
  </conditionalFormatting>
  <conditionalFormatting sqref="V29">
    <cfRule type="cellIs" dxfId="69" priority="33" operator="equal">
      <formula>"Bajo"</formula>
    </cfRule>
    <cfRule type="cellIs" dxfId="68" priority="34" operator="equal">
      <formula>"Moderado"</formula>
    </cfRule>
    <cfRule type="cellIs" dxfId="67" priority="35" operator="equal">
      <formula>"Alto"</formula>
    </cfRule>
    <cfRule type="cellIs" dxfId="66" priority="36" operator="equal">
      <formula>"Extremo"</formula>
    </cfRule>
  </conditionalFormatting>
  <conditionalFormatting sqref="V43">
    <cfRule type="cellIs" dxfId="65" priority="19" operator="equal">
      <formula>"Alto"</formula>
    </cfRule>
    <cfRule type="cellIs" dxfId="64" priority="20" operator="equal">
      <formula>"Extremo"</formula>
    </cfRule>
    <cfRule type="cellIs" dxfId="63" priority="18" operator="equal">
      <formula>"Moderado"</formula>
    </cfRule>
    <cfRule type="cellIs" dxfId="62" priority="17" operator="equal">
      <formula>"Bajo"</formula>
    </cfRule>
  </conditionalFormatting>
  <conditionalFormatting sqref="V57">
    <cfRule type="cellIs" dxfId="61" priority="2" operator="equal">
      <formula>"Moderado"</formula>
    </cfRule>
    <cfRule type="cellIs" dxfId="60" priority="3" operator="equal">
      <formula>"Alto"</formula>
    </cfRule>
    <cfRule type="cellIs" dxfId="59" priority="4" operator="equal">
      <formula>"Extremo"</formula>
    </cfRule>
    <cfRule type="cellIs" dxfId="58" priority="1" operator="equal">
      <formula>"Bajo"</formula>
    </cfRule>
  </conditionalFormatting>
  <dataValidations disablePrompts="1" count="1">
    <dataValidation allowBlank="1" showErrorMessage="1" promptTitle="VALORACIÓN PURA" prompt="Grado de exposición del riesgo en un escenario sin controles." sqref="D29 J29 P29 V29 D43 J43 P43 V43 D57 J57 P57 V57" xr:uid="{EA611DFC-6BD7-4070-A300-397E83C415A9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4EA4-EF34-4BD6-86FF-11EEB476CF46}">
  <dimension ref="A1:O16"/>
  <sheetViews>
    <sheetView showGridLines="0" workbookViewId="0">
      <selection activeCell="A5" sqref="A5"/>
    </sheetView>
  </sheetViews>
  <sheetFormatPr baseColWidth="10" defaultColWidth="0" defaultRowHeight="14.4" x14ac:dyDescent="0.3"/>
  <cols>
    <col min="1" max="1" width="11.5546875" customWidth="1"/>
    <col min="2" max="2" width="35" customWidth="1"/>
    <col min="3" max="5" width="40" customWidth="1"/>
    <col min="6" max="6" width="33.33203125" customWidth="1"/>
    <col min="7" max="8" width="11.5546875" customWidth="1"/>
    <col min="9" max="10" width="22.33203125" customWidth="1"/>
    <col min="11" max="11" width="12.88671875" customWidth="1"/>
    <col min="12" max="14" width="11.5546875" customWidth="1"/>
    <col min="15" max="15" width="5.88671875" customWidth="1"/>
    <col min="16" max="16384" width="11.5546875" hidden="1"/>
  </cols>
  <sheetData>
    <row r="1" spans="1:14" ht="71.400000000000006" customHeight="1" x14ac:dyDescent="0.3">
      <c r="A1" s="347" t="s">
        <v>276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ht="9" customHeight="1" x14ac:dyDescent="0.3"/>
    <row r="3" spans="1:14" x14ac:dyDescent="0.3">
      <c r="A3" s="351" t="s">
        <v>249</v>
      </c>
      <c r="B3" s="349" t="s">
        <v>277</v>
      </c>
      <c r="C3" s="349"/>
      <c r="D3" s="349"/>
      <c r="E3" s="349"/>
      <c r="F3" s="349"/>
      <c r="G3" s="349"/>
      <c r="H3" s="349" t="s">
        <v>278</v>
      </c>
      <c r="I3" s="349"/>
      <c r="J3" s="349"/>
      <c r="K3" s="350" t="s">
        <v>279</v>
      </c>
      <c r="L3" s="349" t="s">
        <v>280</v>
      </c>
      <c r="M3" s="349"/>
      <c r="N3" s="349"/>
    </row>
    <row r="4" spans="1:14" s="224" customFormat="1" ht="39.6" x14ac:dyDescent="0.3">
      <c r="A4" s="352"/>
      <c r="B4" s="223" t="s">
        <v>281</v>
      </c>
      <c r="C4" s="223" t="s">
        <v>282</v>
      </c>
      <c r="D4" s="223" t="s">
        <v>283</v>
      </c>
      <c r="E4" s="223" t="s">
        <v>284</v>
      </c>
      <c r="F4" s="223" t="s">
        <v>285</v>
      </c>
      <c r="G4" s="223" t="s">
        <v>286</v>
      </c>
      <c r="H4" s="223" t="s">
        <v>287</v>
      </c>
      <c r="I4" s="223" t="s">
        <v>288</v>
      </c>
      <c r="J4" s="223" t="s">
        <v>289</v>
      </c>
      <c r="K4" s="350"/>
      <c r="L4" s="220" t="s">
        <v>290</v>
      </c>
      <c r="M4" s="221" t="s">
        <v>291</v>
      </c>
      <c r="N4" s="222" t="s">
        <v>292</v>
      </c>
    </row>
    <row r="5" spans="1:14" s="224" customFormat="1" ht="13.8" x14ac:dyDescent="0.3">
      <c r="A5" s="237" t="str">
        <f>IF('Identificación de Riesgos'!A8="","",'Identificación de Riesgos'!A8)</f>
        <v/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92"/>
      <c r="M5" s="221"/>
      <c r="N5" s="293"/>
    </row>
    <row r="6" spans="1:14" s="224" customFormat="1" ht="13.8" x14ac:dyDescent="0.3">
      <c r="A6" s="237" t="str">
        <f>IF('Identificación de Riesgos'!A9="","",'Identificación de Riesgos'!A9)</f>
        <v/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0"/>
      <c r="M6" s="221"/>
      <c r="N6" s="222"/>
    </row>
    <row r="7" spans="1:14" s="224" customFormat="1" ht="13.8" x14ac:dyDescent="0.3">
      <c r="A7" s="237" t="str">
        <f>IF('Identificación de Riesgos'!A10="","",'Identificación de Riesgos'!A10)</f>
        <v/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0"/>
      <c r="M7" s="221"/>
      <c r="N7" s="222"/>
    </row>
    <row r="8" spans="1:14" s="224" customFormat="1" ht="13.8" x14ac:dyDescent="0.3">
      <c r="A8" s="237" t="str">
        <f>IF('Identificación de Riesgos'!A11="","",'Identificación de Riesgos'!A11)</f>
        <v/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0"/>
      <c r="M8" s="221"/>
      <c r="N8" s="222"/>
    </row>
    <row r="9" spans="1:14" s="224" customFormat="1" ht="13.8" x14ac:dyDescent="0.3">
      <c r="A9" s="237" t="str">
        <f>IF('Identificación de Riesgos'!A12="","",'Identificación de Riesgos'!A12)</f>
        <v/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0"/>
      <c r="M9" s="221"/>
      <c r="N9" s="222"/>
    </row>
    <row r="10" spans="1:14" s="224" customFormat="1" ht="13.8" x14ac:dyDescent="0.3">
      <c r="A10" s="237" t="str">
        <f>IF('Identificación de Riesgos'!A13="","",'Identificación de Riesgos'!A13)</f>
        <v/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0"/>
      <c r="M10" s="221"/>
      <c r="N10" s="222"/>
    </row>
    <row r="11" spans="1:14" s="224" customFormat="1" ht="13.8" x14ac:dyDescent="0.3">
      <c r="A11" s="237" t="str">
        <f>IF('Identificación de Riesgos'!A14="","",'Identificación de Riesgos'!A14)</f>
        <v/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0"/>
      <c r="M11" s="221"/>
      <c r="N11" s="222"/>
    </row>
    <row r="12" spans="1:14" s="224" customFormat="1" ht="13.8" x14ac:dyDescent="0.3">
      <c r="A12" s="237" t="str">
        <f>IF('Identificación de Riesgos'!A15="","",'Identificación de Riesgos'!A15)</f>
        <v/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0"/>
      <c r="M12" s="221"/>
      <c r="N12" s="222"/>
    </row>
    <row r="13" spans="1:14" s="224" customFormat="1" ht="13.8" x14ac:dyDescent="0.3">
      <c r="A13" s="237" t="str">
        <f>IF('Identificación de Riesgos'!A16="","",'Identificación de Riesgos'!A16)</f>
        <v/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0"/>
      <c r="M13" s="221"/>
      <c r="N13" s="222"/>
    </row>
    <row r="14" spans="1:14" s="224" customFormat="1" ht="13.8" x14ac:dyDescent="0.3">
      <c r="A14" s="237" t="str">
        <f>IF('Identificación de Riesgos'!A17="","",'Identificación de Riesgos'!A17)</f>
        <v/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0"/>
      <c r="M14" s="221"/>
      <c r="N14" s="222"/>
    </row>
    <row r="15" spans="1:14" s="224" customFormat="1" ht="13.8" x14ac:dyDescent="0.3">
      <c r="A15" s="237" t="str">
        <f>IF('Identificación de Riesgos'!A18="","",'Identificación de Riesgos'!A18)</f>
        <v/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0"/>
      <c r="M15" s="221"/>
      <c r="N15" s="222"/>
    </row>
    <row r="16" spans="1:14" s="224" customFormat="1" ht="13.8" x14ac:dyDescent="0.3">
      <c r="A16" s="237" t="str">
        <f>IF('Identificación de Riesgos'!A19="","",'Identificación de Riesgos'!A19)</f>
        <v/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0"/>
      <c r="M16" s="221"/>
      <c r="N16" s="222"/>
    </row>
  </sheetData>
  <sheetProtection algorithmName="SHA-512" hashValue="pDPo4eT93KG9V+anIPFojS/fTLtYHhLL+byhdA6t5jrIAKbvHbLbwvAyrl7GYrvAHJfGVAxuc+bfZE06oefB9A==" saltValue="Xjrjc+HpTFoJNZ0ZIlHeXw==" spinCount="100000" sheet="1" objects="1" scenarios="1"/>
  <mergeCells count="6">
    <mergeCell ref="A1:N1"/>
    <mergeCell ref="H3:J3"/>
    <mergeCell ref="L3:N3"/>
    <mergeCell ref="B3:G3"/>
    <mergeCell ref="K3:K4"/>
    <mergeCell ref="A3:A4"/>
  </mergeCells>
  <conditionalFormatting sqref="B6">
    <cfRule type="containsText" dxfId="57" priority="1" operator="containsText" text="x">
      <formula>NOT(ISERROR(SEARCH("x",B6)))</formula>
    </cfRule>
  </conditionalFormatting>
  <dataValidations count="1">
    <dataValidation type="list" allowBlank="1" showInputMessage="1" showErrorMessage="1" sqref="G5:G16" xr:uid="{B21A373C-B3C1-419C-B1C3-B6A65A3C06CD}">
      <formula1>"Mensual, Bimestral, Trimestral, Cuatrimestral, Semestral"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7CE39FFCD71E4D9E877E50F18B2393" ma:contentTypeVersion="14" ma:contentTypeDescription="Crear nuevo documento." ma:contentTypeScope="" ma:versionID="3d014607a0a62ecc32a52ea1a7350afb">
  <xsd:schema xmlns:xsd="http://www.w3.org/2001/XMLSchema" xmlns:xs="http://www.w3.org/2001/XMLSchema" xmlns:p="http://schemas.microsoft.com/office/2006/metadata/properties" xmlns:ns3="ce5719ef-b00d-4818-9040-3a574b143301" xmlns:ns4="4911f100-51a8-4d84-b86b-e7505b412ff1" targetNamespace="http://schemas.microsoft.com/office/2006/metadata/properties" ma:root="true" ma:fieldsID="970262071f811a3dff34879ee186fb63" ns3:_="" ns4:_="">
    <xsd:import namespace="ce5719ef-b00d-4818-9040-3a574b143301"/>
    <xsd:import namespace="4911f100-51a8-4d84-b86b-e7505b412ff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19ef-b00d-4818-9040-3a574b14330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f100-51a8-4d84-b86b-e7505b412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5719ef-b00d-4818-9040-3a574b143301" xsi:nil="true"/>
  </documentManagement>
</p:properties>
</file>

<file path=customXml/itemProps1.xml><?xml version="1.0" encoding="utf-8"?>
<ds:datastoreItem xmlns:ds="http://schemas.openxmlformats.org/officeDocument/2006/customXml" ds:itemID="{832E444A-AFC1-4BBE-AD58-E7252067B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5FE23-2973-4F6D-A859-4C1E9B9BB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719ef-b00d-4818-9040-3a574b143301"/>
    <ds:schemaRef ds:uri="4911f100-51a8-4d84-b86b-e7505b412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772CE-CCFA-47E5-BEFB-791E9011045F}">
  <ds:schemaRefs>
    <ds:schemaRef ds:uri="http://schemas.microsoft.com/office/2006/metadata/properties"/>
    <ds:schemaRef ds:uri="http://schemas.microsoft.com/office/infopath/2007/PartnerControls"/>
    <ds:schemaRef ds:uri="ce5719ef-b00d-4818-9040-3a574b1433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Contexto del Proceso</vt:lpstr>
      <vt:lpstr>Probabilidad</vt:lpstr>
      <vt:lpstr>Impacto Procesos</vt:lpstr>
      <vt:lpstr>Tablas de validación</vt:lpstr>
      <vt:lpstr>Hoja2</vt:lpstr>
      <vt:lpstr>Identificación de Riesgos</vt:lpstr>
      <vt:lpstr>Controles</vt:lpstr>
      <vt:lpstr>Residual</vt:lpstr>
      <vt:lpstr>KRI</vt:lpstr>
      <vt:lpstr>Matriz Consolidada incluir</vt:lpstr>
      <vt:lpstr>Gestión_Integral_Riesgo</vt:lpstr>
      <vt:lpstr>Riesgos_Corrupcion</vt:lpstr>
      <vt:lpstr>Ejecución_Administración_Procesos</vt:lpstr>
      <vt:lpstr>Evento_Externo</vt:lpstr>
      <vt:lpstr>Fiscal</vt:lpstr>
      <vt:lpstr>Gestión</vt:lpstr>
      <vt:lpstr>Impacto</vt:lpstr>
      <vt:lpstr>Infraestructura</vt:lpstr>
      <vt:lpstr>Integridad_Pública_Corrupción</vt:lpstr>
      <vt:lpstr>Integridad_Pública_LAFT</vt:lpstr>
      <vt:lpstr>Probabilidad</vt:lpstr>
      <vt:lpstr>Seguridad_Información</vt:lpstr>
      <vt:lpstr>Talento_Humano</vt:lpstr>
      <vt:lpstr>Tecnología</vt:lpstr>
      <vt:lpstr>Transacción_Operación_Aplica_LAFT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Andres Felipe Rodiguez Plazas</cp:lastModifiedBy>
  <cp:revision/>
  <dcterms:created xsi:type="dcterms:W3CDTF">2021-09-20T22:12:34Z</dcterms:created>
  <dcterms:modified xsi:type="dcterms:W3CDTF">2026-02-10T19:11:19Z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0x010100457CE39FFCD71E4D9E877E50F18B2393</vt:lpwstr>
  </property>
</Properties>
</file>